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109"/>
  <workbookPr/>
  <mc:AlternateContent xmlns:mc="http://schemas.openxmlformats.org/markup-compatibility/2006">
    <mc:Choice Requires="x15">
      <x15ac:absPath xmlns:x15ac="http://schemas.microsoft.com/office/spreadsheetml/2010/11/ac" url="/Users/deith/Desktop/B111/B111-appendices/Appendix 1. Field data/Appendix 1A-Geoprobe and piezometer data/"/>
    </mc:Choice>
  </mc:AlternateContent>
  <bookViews>
    <workbookView xWindow="0" yWindow="460" windowWidth="28480" windowHeight="21500"/>
  </bookViews>
  <sheets>
    <sheet name="CoverSheet" sheetId="9" r:id="rId1"/>
    <sheet name="Site 1" sheetId="1" r:id="rId2"/>
    <sheet name="Site 2" sheetId="2" r:id="rId3"/>
    <sheet name="Site 3" sheetId="7" r:id="rId4"/>
    <sheet name="Site 4" sheetId="3" r:id="rId5"/>
    <sheet name="Site 5" sheetId="5" r:id="rId6"/>
    <sheet name="Site 6" sheetId="6" r:id="rId7"/>
    <sheet name="Site 7" sheetId="8" r:id="rId8"/>
    <sheet name="Site 8" sheetId="4" r:id="rId9"/>
  </sheets>
  <definedNames>
    <definedName name="_xlnm.Print_Area" localSheetId="4">'Site 4'!$A$1:$H$43</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calcChain.xml><?xml version="1.0" encoding="utf-8"?>
<calcChain xmlns="http://schemas.openxmlformats.org/spreadsheetml/2006/main">
  <c r="E4" i="1" l="1"/>
  <c r="E32" i="7"/>
  <c r="G2" i="3"/>
  <c r="E31" i="7"/>
  <c r="H30" i="7"/>
  <c r="E30" i="7"/>
  <c r="H29" i="7"/>
  <c r="E29" i="7"/>
  <c r="E38" i="5"/>
  <c r="E39" i="5"/>
  <c r="E43" i="5"/>
  <c r="E45" i="5"/>
  <c r="E46" i="5"/>
  <c r="E5" i="5"/>
  <c r="E6" i="5"/>
  <c r="E7" i="5"/>
  <c r="E8" i="5"/>
  <c r="E9" i="5"/>
  <c r="E13" i="5"/>
  <c r="E14" i="5"/>
  <c r="E15" i="5"/>
  <c r="E16" i="5"/>
  <c r="E17" i="5"/>
  <c r="E21" i="5"/>
  <c r="E22" i="5"/>
  <c r="E27" i="5"/>
  <c r="E30" i="5"/>
  <c r="E31" i="5"/>
  <c r="E34" i="5"/>
  <c r="H44" i="5"/>
  <c r="E44" i="5"/>
  <c r="H42" i="5"/>
  <c r="E42" i="5"/>
  <c r="H41" i="5"/>
  <c r="E41" i="5"/>
  <c r="H40" i="5"/>
  <c r="E40" i="5"/>
  <c r="H39" i="5"/>
  <c r="H37" i="5"/>
  <c r="E37" i="5"/>
  <c r="H36" i="5"/>
  <c r="E36" i="5"/>
  <c r="H35" i="5"/>
  <c r="E35" i="5"/>
  <c r="H33" i="5"/>
  <c r="E33" i="5"/>
  <c r="H32" i="5"/>
  <c r="E32" i="5"/>
  <c r="H29" i="5"/>
  <c r="E29" i="5"/>
  <c r="H28" i="5"/>
  <c r="E28" i="5"/>
  <c r="H26" i="5"/>
  <c r="E26" i="5"/>
  <c r="H25" i="5"/>
  <c r="E25" i="5"/>
  <c r="H24" i="5"/>
  <c r="E24" i="5"/>
  <c r="H23" i="5"/>
  <c r="E23" i="5"/>
  <c r="H21" i="5"/>
  <c r="H20" i="5"/>
  <c r="E20" i="5"/>
  <c r="H19" i="5"/>
  <c r="E19" i="5"/>
  <c r="H18" i="5"/>
  <c r="E18" i="5"/>
  <c r="H12" i="5"/>
  <c r="E12" i="5"/>
  <c r="H11" i="5"/>
  <c r="E11" i="5"/>
  <c r="H10" i="5"/>
  <c r="E10" i="5"/>
  <c r="E7" i="8"/>
  <c r="E11" i="8"/>
  <c r="E12" i="8"/>
  <c r="E13" i="8"/>
  <c r="E16" i="8"/>
  <c r="E17" i="8"/>
  <c r="E19" i="8"/>
  <c r="E20" i="8"/>
  <c r="E22" i="8"/>
  <c r="E23" i="8"/>
  <c r="E27" i="8"/>
  <c r="E28" i="8"/>
  <c r="E29" i="8"/>
  <c r="E30" i="8"/>
  <c r="E31" i="8"/>
  <c r="E33" i="8"/>
  <c r="E35" i="8"/>
  <c r="E36" i="8"/>
  <c r="E37" i="8"/>
  <c r="E4" i="8"/>
  <c r="H34" i="8"/>
  <c r="E34" i="8"/>
  <c r="H32" i="8"/>
  <c r="E32" i="8"/>
  <c r="H31" i="8"/>
  <c r="H28" i="8"/>
  <c r="H26" i="8"/>
  <c r="E26" i="8"/>
  <c r="H25" i="8"/>
  <c r="E25" i="8"/>
  <c r="H24" i="8"/>
  <c r="E24" i="8"/>
  <c r="H23" i="8"/>
  <c r="H21" i="8"/>
  <c r="E21" i="8"/>
  <c r="H20" i="8"/>
  <c r="H19" i="8"/>
  <c r="H18" i="8"/>
  <c r="E18" i="8"/>
  <c r="H15" i="8"/>
  <c r="E15" i="8"/>
  <c r="H14" i="8"/>
  <c r="E14" i="8"/>
  <c r="H11" i="8"/>
  <c r="H10" i="8"/>
  <c r="E10" i="8"/>
  <c r="H9" i="8"/>
  <c r="E9" i="8"/>
  <c r="H8" i="8"/>
  <c r="E8" i="8"/>
  <c r="H6" i="8"/>
  <c r="E6" i="8"/>
  <c r="H5" i="8"/>
  <c r="E5" i="8"/>
  <c r="E8" i="7"/>
  <c r="E9" i="7"/>
  <c r="E11" i="7"/>
  <c r="E13" i="7"/>
  <c r="E17" i="7"/>
  <c r="E22" i="7"/>
  <c r="E23" i="7"/>
  <c r="E24" i="7"/>
  <c r="E25" i="7"/>
  <c r="E26" i="7"/>
  <c r="E27" i="7"/>
  <c r="E28" i="7"/>
  <c r="E5" i="7"/>
  <c r="H23" i="7"/>
  <c r="H21" i="7"/>
  <c r="E21" i="7"/>
  <c r="H20" i="7"/>
  <c r="E20" i="7"/>
  <c r="H19" i="7"/>
  <c r="E19" i="7"/>
  <c r="H18" i="7"/>
  <c r="E18" i="7"/>
  <c r="H16" i="7"/>
  <c r="E16" i="7"/>
  <c r="H15" i="7"/>
  <c r="E15" i="7"/>
  <c r="H14" i="7"/>
  <c r="E14" i="7"/>
  <c r="H12" i="7"/>
  <c r="E12" i="7"/>
  <c r="H10" i="7"/>
  <c r="E10" i="7"/>
  <c r="H7" i="7"/>
  <c r="E7" i="7"/>
  <c r="H6" i="7"/>
  <c r="E6" i="7"/>
  <c r="E6" i="3"/>
  <c r="E7" i="3"/>
  <c r="E8" i="3"/>
  <c r="E9" i="3"/>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39" i="3"/>
  <c r="E40" i="3"/>
  <c r="E41" i="3"/>
  <c r="E42" i="3"/>
  <c r="E43" i="3"/>
  <c r="E5" i="3"/>
  <c r="E4" i="3"/>
  <c r="E4" i="5"/>
  <c r="E5" i="6"/>
  <c r="E6" i="6"/>
  <c r="E7" i="6"/>
  <c r="E8" i="6"/>
  <c r="E9" i="6"/>
  <c r="E10" i="6"/>
  <c r="E11" i="6"/>
  <c r="E12" i="6"/>
  <c r="E13" i="6"/>
  <c r="E14" i="6"/>
  <c r="E15" i="6"/>
  <c r="E16" i="6"/>
  <c r="E17" i="6"/>
  <c r="E20" i="6"/>
  <c r="E22" i="6"/>
  <c r="E24" i="6"/>
  <c r="E27" i="6"/>
  <c r="E36" i="6"/>
  <c r="E41" i="6"/>
  <c r="E44" i="6"/>
  <c r="E47" i="6"/>
  <c r="E51" i="6"/>
  <c r="E55" i="6"/>
  <c r="E60" i="6"/>
  <c r="E61" i="6"/>
  <c r="E4" i="6"/>
  <c r="H35" i="6"/>
  <c r="E35" i="6"/>
  <c r="H34" i="6"/>
  <c r="E34" i="6"/>
  <c r="H29" i="6"/>
  <c r="E29" i="6"/>
  <c r="H31" i="6"/>
  <c r="E31" i="6"/>
  <c r="H30" i="6"/>
  <c r="E30" i="6"/>
  <c r="H59" i="6"/>
  <c r="E59" i="6"/>
  <c r="H58" i="6"/>
  <c r="E58" i="6"/>
  <c r="H57" i="6"/>
  <c r="E57" i="6"/>
  <c r="H56" i="6"/>
  <c r="E56" i="6"/>
  <c r="H54" i="6"/>
  <c r="E54" i="6"/>
  <c r="H53" i="6"/>
  <c r="E53" i="6"/>
  <c r="H52" i="6"/>
  <c r="E52" i="6"/>
  <c r="H50" i="6"/>
  <c r="E50" i="6"/>
  <c r="H49" i="6"/>
  <c r="E49" i="6"/>
  <c r="H48" i="6"/>
  <c r="E48" i="6"/>
  <c r="H46" i="6"/>
  <c r="E46" i="6"/>
  <c r="H45" i="6"/>
  <c r="E45" i="6"/>
  <c r="H43" i="6"/>
  <c r="E43" i="6"/>
  <c r="H42" i="6"/>
  <c r="E42" i="6"/>
  <c r="H40" i="6"/>
  <c r="E40" i="6"/>
  <c r="H39" i="6"/>
  <c r="E39" i="6"/>
  <c r="H38" i="6"/>
  <c r="E38" i="6"/>
  <c r="H37" i="6"/>
  <c r="E37" i="6"/>
  <c r="H33" i="6"/>
  <c r="E33" i="6"/>
  <c r="H32" i="6"/>
  <c r="E32" i="6"/>
  <c r="H28" i="6"/>
  <c r="E28" i="6"/>
  <c r="H26" i="6"/>
  <c r="E26" i="6"/>
  <c r="H25" i="6"/>
  <c r="E25" i="6"/>
  <c r="H23" i="6"/>
  <c r="E23" i="6"/>
  <c r="H21" i="6"/>
  <c r="E21" i="6"/>
  <c r="H18" i="6"/>
  <c r="E18" i="6"/>
  <c r="H19" i="6"/>
  <c r="E19" i="6"/>
  <c r="E34" i="1"/>
  <c r="E5" i="4"/>
  <c r="E6" i="4"/>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4" i="4"/>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4" i="2"/>
  <c r="E7" i="1"/>
  <c r="E8" i="1"/>
  <c r="E9" i="1"/>
  <c r="E10" i="1"/>
  <c r="E11" i="1"/>
  <c r="E12" i="1"/>
  <c r="E13" i="1"/>
  <c r="E14" i="1"/>
  <c r="E15" i="1"/>
  <c r="E16" i="1"/>
  <c r="E17" i="1"/>
  <c r="E18" i="1"/>
  <c r="E19" i="1"/>
  <c r="E20" i="1"/>
  <c r="E21" i="1"/>
  <c r="E22" i="1"/>
  <c r="E23" i="1"/>
  <c r="E24" i="1"/>
  <c r="E25" i="1"/>
  <c r="E26" i="1"/>
  <c r="E27" i="1"/>
  <c r="E28" i="1"/>
  <c r="E29" i="1"/>
  <c r="E30" i="1"/>
  <c r="E31" i="1"/>
  <c r="E32" i="1"/>
  <c r="E33" i="1"/>
  <c r="E5" i="1"/>
  <c r="E6" i="1"/>
</calcChain>
</file>

<file path=xl/sharedStrings.xml><?xml version="1.0" encoding="utf-8"?>
<sst xmlns="http://schemas.openxmlformats.org/spreadsheetml/2006/main" count="1222" uniqueCount="311">
  <si>
    <t>WUWN</t>
  </si>
  <si>
    <t>Site#</t>
  </si>
  <si>
    <t>VQ883</t>
  </si>
  <si>
    <t>X(m)</t>
  </si>
  <si>
    <t>Y(m)</t>
  </si>
  <si>
    <t>top_elev(ft)</t>
  </si>
  <si>
    <t>VQ885</t>
  </si>
  <si>
    <t>VQ889</t>
  </si>
  <si>
    <t>VQ897</t>
  </si>
  <si>
    <t xml:space="preserve">Land surface(ft) </t>
  </si>
  <si>
    <t>Depth to layer(ft)</t>
  </si>
  <si>
    <t>medium sand</t>
  </si>
  <si>
    <t>coarse sand</t>
  </si>
  <si>
    <t>clay bands/lens</t>
  </si>
  <si>
    <t>coarse sand with clay lens</t>
  </si>
  <si>
    <t>pebble</t>
  </si>
  <si>
    <t>gravel lens with sand</t>
  </si>
  <si>
    <t>coarse sand with pebbles</t>
  </si>
  <si>
    <t>coarse sand with gravel</t>
  </si>
  <si>
    <t xml:space="preserve">coarse sand with few pebbles </t>
  </si>
  <si>
    <t>gravel with coarse sand</t>
  </si>
  <si>
    <t>bands</t>
  </si>
  <si>
    <t>clay</t>
  </si>
  <si>
    <t xml:space="preserve">coarse sand with gravel </t>
  </si>
  <si>
    <t xml:space="preserve">fine coarse sand with trace clay </t>
  </si>
  <si>
    <t>medium coarse sand</t>
  </si>
  <si>
    <t>sand with trace clay and samll pebbles</t>
  </si>
  <si>
    <t>black bands with sand</t>
  </si>
  <si>
    <t>B horizon medium coarse sand with trace clay 10YR 3/6</t>
  </si>
  <si>
    <t>medium coarse sand  10YR 4/6</t>
  </si>
  <si>
    <t>medium saturated coarse sand 10YR 5/4</t>
  </si>
  <si>
    <t>medium coarse sand  7.5YR 5/6</t>
  </si>
  <si>
    <t>medium coarse sand with samll pebbles 10YR 5/4</t>
  </si>
  <si>
    <t>medium coarse sand 10YR 5/4</t>
  </si>
  <si>
    <t>sandy gravel 10YR 5/6</t>
  </si>
  <si>
    <t>coarse sand with gravel  10YR 5/6</t>
  </si>
  <si>
    <t xml:space="preserve"> medium coarse sand 10YR 5/4</t>
  </si>
  <si>
    <t>medium coarse sand 7.5YR 5/6</t>
  </si>
  <si>
    <t>pyrite sparkles with cobbles</t>
  </si>
  <si>
    <t>sandy grvel</t>
  </si>
  <si>
    <t>fine gravel</t>
  </si>
  <si>
    <t>coarse sand 10YR 5/3</t>
  </si>
  <si>
    <t xml:space="preserve">coarse sand </t>
  </si>
  <si>
    <t>fine sand 10YR 5/3</t>
  </si>
  <si>
    <t xml:space="preserve">fine sand 10YR 5/3 with black lamellae </t>
  </si>
  <si>
    <t>medium sand 10YR 5/4</t>
  </si>
  <si>
    <t>coarse sand with laminations 10YR 5/4</t>
  </si>
  <si>
    <t xml:space="preserve">gravel with sand </t>
  </si>
  <si>
    <t>fine sand 10YR 5/4</t>
  </si>
  <si>
    <t>medium fine sand</t>
  </si>
  <si>
    <t>coarse sand 10YR 5/4</t>
  </si>
  <si>
    <t xml:space="preserve">coarse sand with gravel and pebbles </t>
  </si>
  <si>
    <t xml:space="preserve">rhyolite rounded pebble </t>
  </si>
  <si>
    <t>pebbles and gravel</t>
  </si>
  <si>
    <t xml:space="preserve">coarse sand with garvel and pebbles </t>
  </si>
  <si>
    <t xml:space="preserve">coarse sand with pebbles </t>
  </si>
  <si>
    <t>silt 10YR 5/4</t>
  </si>
  <si>
    <t xml:space="preserve">sandy silt </t>
  </si>
  <si>
    <t>silt with dark red lamellae 1oYR 5/4</t>
  </si>
  <si>
    <t xml:space="preserve">gravel with coarse sand </t>
  </si>
  <si>
    <t>silt gravel bands 10YR 5/4</t>
  </si>
  <si>
    <t xml:space="preserve">coarse sand with small pebbles </t>
  </si>
  <si>
    <t xml:space="preserve">coarse gravel  and sand </t>
  </si>
  <si>
    <t xml:space="preserve">medium sand </t>
  </si>
  <si>
    <t>lamellae</t>
  </si>
  <si>
    <t xml:space="preserve">medium coarse laminated sand </t>
  </si>
  <si>
    <t>A horizon  dark brown to black soil</t>
  </si>
  <si>
    <t>coarse sand with gravel and clay 5YR 4/4</t>
  </si>
  <si>
    <t>clay with sand 5YR 4/4</t>
  </si>
  <si>
    <t>clay sand with pebbles 5YR 4/4</t>
  </si>
  <si>
    <t>sand with gravel and pebbles 5YR 6/6</t>
  </si>
  <si>
    <t>clay with sand and pebbles 7.5 YR 4/4</t>
  </si>
  <si>
    <t>sandy clay with pebbles 7.5YR 4/3</t>
  </si>
  <si>
    <t>gravelly clay 7.5YR 4/3</t>
  </si>
  <si>
    <t>sand with clay and pebbles</t>
  </si>
  <si>
    <t xml:space="preserve">gravelly sand with clay </t>
  </si>
  <si>
    <t>clay with pebbles and sand</t>
  </si>
  <si>
    <t>gravel sand with pebbles</t>
  </si>
  <si>
    <t>sand and gravel</t>
  </si>
  <si>
    <t xml:space="preserve">no recovery </t>
  </si>
  <si>
    <t>laminated coarse sand with pebbles</t>
  </si>
  <si>
    <t>laminated sand and gravel</t>
  </si>
  <si>
    <t>coarse sand with gravel up to 2cm</t>
  </si>
  <si>
    <t>gravel with coarse sand and pebbles uo to 3cm</t>
  </si>
  <si>
    <t>gravel with coarse sand and pebbles up to 4cm</t>
  </si>
  <si>
    <t>gravel with coarse sand and pebbles up to 3cm</t>
  </si>
  <si>
    <t>coarse sand with few pebbles up tp 2cm</t>
  </si>
  <si>
    <t>A horizon 7.5YR 2.5/2</t>
  </si>
  <si>
    <t>medium sand with trace clay and pebbles 0.2-2cm 7.5 YR 4/4</t>
  </si>
  <si>
    <t>clay with medium sand and pebbles 7.5YR 4/4</t>
  </si>
  <si>
    <t>medium sand with gravel 0.1-1cm 7.5 YR 4/5</t>
  </si>
  <si>
    <t>gravel or crushed boulder GLEY1 6/2</t>
  </si>
  <si>
    <t>pyrite</t>
  </si>
  <si>
    <t>gravel and coarse sand with pebbles 1mm-6.5cm</t>
  </si>
  <si>
    <t>gravel and coarse sand with pebbles 1mm-4cm</t>
  </si>
  <si>
    <t>gravel and coarse sand with pebbles 3.5cm</t>
  </si>
  <si>
    <t>sand and gravel with pebbles 3cm</t>
  </si>
  <si>
    <t>gravel with sand and pebbles 4cm</t>
  </si>
  <si>
    <t>silt 7.5YR 5/6</t>
  </si>
  <si>
    <t>clay and gravel with pebbles 0.8cm</t>
  </si>
  <si>
    <t>clay and gravel with pebbles</t>
  </si>
  <si>
    <t>gravel with coarse sand 7.5YR 5/3</t>
  </si>
  <si>
    <t>clay and sand with pebbles 0.5-1cm 5YR 4/4</t>
  </si>
  <si>
    <t>gravel and coarse sand</t>
  </si>
  <si>
    <t>clay with sand and gravel 5YR 4/3</t>
  </si>
  <si>
    <t>greem shist</t>
  </si>
  <si>
    <t>weathered shist</t>
  </si>
  <si>
    <t xml:space="preserve">green shist </t>
  </si>
  <si>
    <t>coarse sand 7.5YR 6/5</t>
  </si>
  <si>
    <t xml:space="preserve">sand and clay </t>
  </si>
  <si>
    <t>clay sand and gravel with pebbles 1-1.5cm 5YR 3/4</t>
  </si>
  <si>
    <t>clay sand and gravel with pebbles and weathered green powdery bedrock</t>
  </si>
  <si>
    <t>gravel with cobble</t>
  </si>
  <si>
    <t>B horizon 10YR 4/3</t>
  </si>
  <si>
    <t>coarse sand 10YR 6/3</t>
  </si>
  <si>
    <t>coarse sand with pebbles 0.5cm</t>
  </si>
  <si>
    <t>quartz sand with grains 10YR 6/3</t>
  </si>
  <si>
    <t>medium sand 7.5 YR 5/4</t>
  </si>
  <si>
    <t>medium sand 10YR 5/3</t>
  </si>
  <si>
    <t>coarse sand with pebbles 7.5YR 6/3</t>
  </si>
  <si>
    <t>coarse sand 7.5YR 5/3</t>
  </si>
  <si>
    <t>coarse sand with gravel 10YR 4/3</t>
  </si>
  <si>
    <t>coarse sand with few pebbles  7.5YR 5/4</t>
  </si>
  <si>
    <t>gravel with coarse sand 2.5 YR 4/5</t>
  </si>
  <si>
    <t>silty clay with sand with pebbles 10YR 4/4</t>
  </si>
  <si>
    <t>fine sand with clay and gravel 5GY 6/2</t>
  </si>
  <si>
    <t>sandy clay with gravel 1-3mm</t>
  </si>
  <si>
    <t>clay gravel(1-0.5cm) with sand</t>
  </si>
  <si>
    <t>Land surface(ft)</t>
  </si>
  <si>
    <t xml:space="preserve">A horizon  </t>
  </si>
  <si>
    <t>A horizon dark sandy soil 10YR 2/2</t>
  </si>
  <si>
    <t>top organic soil</t>
  </si>
  <si>
    <t>sand</t>
  </si>
  <si>
    <t>sand and clay</t>
  </si>
  <si>
    <t>sand, gravel and clay</t>
  </si>
  <si>
    <t>gravel</t>
  </si>
  <si>
    <t xml:space="preserve">sand </t>
  </si>
  <si>
    <t>silt</t>
  </si>
  <si>
    <t>sand and silt</t>
  </si>
  <si>
    <t>gravel and silt</t>
  </si>
  <si>
    <t>coarse sand with pebbles  7.5YR 4/4</t>
  </si>
  <si>
    <t>gravel and clay</t>
  </si>
  <si>
    <t>clay and gravel with pebbles 0.8cm-4cm 5YR 4/4</t>
  </si>
  <si>
    <t>coarse gravely sand with pebble</t>
  </si>
  <si>
    <t xml:space="preserve">fine to coarse sand with black laminations </t>
  </si>
  <si>
    <t xml:space="preserve">coarse gravelly sand </t>
  </si>
  <si>
    <t>VQ893</t>
  </si>
  <si>
    <t>coarse sand with few small pebbles 0.5cm</t>
  </si>
  <si>
    <t>silty, medium sand with few pebbles (2-3 cm), 7.5 Y/R 4/4</t>
  </si>
  <si>
    <t>coarse sand with little silt, ranges from 7.5 Y/R 4/6 to 7.5 Y/R 5/8</t>
  </si>
  <si>
    <t>coarse sand with little silt, 7.5 Y/R 4/6</t>
  </si>
  <si>
    <t>top soil</t>
  </si>
  <si>
    <t>fine with medium sand and silt, homogeneous except with pebbles, 7.5 Y/R 4/6</t>
  </si>
  <si>
    <t>medium sand with fine sand and silt, homogeneous except with pebbles, 7.5 Y/R 5/8</t>
  </si>
  <si>
    <t>pure, fine and medium sand 10 Y/R 7/6</t>
  </si>
  <si>
    <t>medium sand with a few laminations, a few small pebbles (0.5 cm di), 10 Y/R 7/4</t>
  </si>
  <si>
    <t>medium sand with laminations</t>
  </si>
  <si>
    <t>medium to fine sand, 10 Y/R 8/4</t>
  </si>
  <si>
    <t>mostly medium and coarse sand with some fine sand, laminated, 7.5 Y/R 6/4</t>
  </si>
  <si>
    <t>course sand, multicolored</t>
  </si>
  <si>
    <t>gradation from sandy silt to silty sand, laminated to not as noticeable laminated, 7.5 Y/R 4/4</t>
  </si>
  <si>
    <t>fine/medium sand with coarse sand, thinly laminated, 7.5 Y/R 6/4</t>
  </si>
  <si>
    <t>course sand layers</t>
  </si>
  <si>
    <t>fine sand, laminated, homogeneous, 7.5 Y/R 6/4</t>
  </si>
  <si>
    <t xml:space="preserve">fine and medium sand, laminated with thin, darker silty layers </t>
  </si>
  <si>
    <t>fine and medium sand, homogeneous, 7.5 Y/R 5/3</t>
  </si>
  <si>
    <t>silty, fine sand, homogenous, 7.5 Y/R 5/3</t>
  </si>
  <si>
    <t>medium sand with some fine and coarse, laminated, 7.5 Y/R 6/4</t>
  </si>
  <si>
    <t>coarse sand with fine and medium sand, laminated, 7.5 Y/R 6/4</t>
  </si>
  <si>
    <t>medium sand with small pebbles (3 mm dia), laminated, 7.5 Y/R 6/4</t>
  </si>
  <si>
    <t>coarse and medium sand, laminated</t>
  </si>
  <si>
    <t>large pebbles/cobbles, 3-5 mm</t>
  </si>
  <si>
    <t>fine sand layer</t>
  </si>
  <si>
    <t>fine sand, 7.5 Y/R 4/4</t>
  </si>
  <si>
    <t>medium sand, 7/5 Y/R 4/4</t>
  </si>
  <si>
    <t>coarse sand with pebbles, 7/5 Y/R 4/4</t>
  </si>
  <si>
    <t>coarse and medium sand, laminated, 7.5 Y/R 5/8</t>
  </si>
  <si>
    <t>coarse sand with pebbles, 7/5 Y/R 4/3</t>
  </si>
  <si>
    <t>medium and fine sand, homogeneous, 7.5 YR 4/3</t>
  </si>
  <si>
    <t>coarse sand, homogeneous, 7.5 YR 4/3</t>
  </si>
  <si>
    <t>coarse and medium sand with pebbles (1-3cm in dia), 7.5 YR 6/6</t>
  </si>
  <si>
    <t>medium and fine sand, 7.5 YR 6/4</t>
  </si>
  <si>
    <t>medium and coarse sand, 7.5 YR 6/6 with a lens of 7.5 YR 5/8</t>
  </si>
  <si>
    <t>fine sand with few pebbles (1-2 mm in dia), 7.5 YR 6/4</t>
  </si>
  <si>
    <t>coarse sand with small gravel, 7.5 YR 7/4</t>
  </si>
  <si>
    <t>fine and medium sand</t>
  </si>
  <si>
    <t>medium sand with laminations, 7.5 YR 5/4</t>
  </si>
  <si>
    <t>medium sand with pebbles (1 cm dia), 7/5 YR 5/4</t>
  </si>
  <si>
    <t>gravel (1-3 cm dia) with sand</t>
  </si>
  <si>
    <t>fine sand with silt, 7.5 YR 5/2</t>
  </si>
  <si>
    <t>gravel  with sand</t>
  </si>
  <si>
    <t>clay with gravel (larger), weathered bedrock?, 5 YR 3/3</t>
  </si>
  <si>
    <t>clay and silt with small gravel</t>
  </si>
  <si>
    <t>clay with gravel (larger - 0.5-2 cm dia), very black, wet, 10 R 2.5/1</t>
  </si>
  <si>
    <t>dry clay and silt with gravel alternating with moist clay and silt with gravel, 2.5 Y 8/4, 5YR 5/6, 5Y 4/3</t>
  </si>
  <si>
    <t>mainly gravel with silt/clay, weathered bedrock?, 7.5 YR 3/3</t>
  </si>
  <si>
    <t>Detailed description</t>
  </si>
  <si>
    <t>Prime description</t>
  </si>
  <si>
    <t>clean coarse sand (no silt), 10 Y/R 7/3</t>
  </si>
  <si>
    <t>silt and sand</t>
  </si>
  <si>
    <t>clay and gravel</t>
  </si>
  <si>
    <t>silty, fine sand, 10 YR 4/2</t>
  </si>
  <si>
    <t>fine and medium sand, 10 YR 5/3</t>
  </si>
  <si>
    <t>mostly medium sand, some fine sand, small cobbles throughout, 10 YR 5/4</t>
  </si>
  <si>
    <t>medium and fine sand with few small cobbles, 7.5 YR 5/4</t>
  </si>
  <si>
    <t>coarse sand with cobbles and medium sand, 10 YR 5/4</t>
  </si>
  <si>
    <t>fine sand, 10 YR 5/4</t>
  </si>
  <si>
    <t>coarse and medium sand with cobbles up to 1'', 10 YR 5/4</t>
  </si>
  <si>
    <t>medium sand with coarse sand and cobbles up to 0.5'', 10 YR 5/4</t>
  </si>
  <si>
    <t>fine and medium sand with coarse sand lenses, 10 YR 5/4</t>
  </si>
  <si>
    <t>medium sand with gravel and coarse sand, 7.5 YR 5/4</t>
  </si>
  <si>
    <t>coarse sand with some cobbles, 10 YR 5/3</t>
  </si>
  <si>
    <t>fine and medium sand, 7.5 YR 4/4</t>
  </si>
  <si>
    <t>coarse and medium sand, 7.5 YR 4/4</t>
  </si>
  <si>
    <t>medium and coarse sand with cobbles up to 1'', 7.5 YR 5/4</t>
  </si>
  <si>
    <t>fined and medium sand, few cobbles, 7.5 YR 4/4</t>
  </si>
  <si>
    <t>fine sand with little coarse/medium sand, very homogeneous</t>
  </si>
  <si>
    <t>fine and medium sand, 7.5 YR 5/4, very homogeneous</t>
  </si>
  <si>
    <t>fine sand with some medium sand, 10 YR 4/6, some coarse sand and gravel at bottom</t>
  </si>
  <si>
    <t>VQ887</t>
  </si>
  <si>
    <t>VQ891</t>
  </si>
  <si>
    <t>VQ895</t>
  </si>
  <si>
    <t>top soil, A horizon</t>
  </si>
  <si>
    <t xml:space="preserve">medium and fine sand, 10 YR 7/4, homogeneous </t>
  </si>
  <si>
    <t>top soil, B horizon, silty sand with fine organics</t>
  </si>
  <si>
    <t>fine sand with trace silt, 7.5 YR 7/4</t>
  </si>
  <si>
    <t>fine and medium sand, 7.5 YR 7/4</t>
  </si>
  <si>
    <t>fine sand, 7.5 YR 7/4</t>
  </si>
  <si>
    <t>silt and fine sand, dark laminations (4), 7.5 YR 7/4</t>
  </si>
  <si>
    <t>medium and fine sand, 7.5 YR 6/4, 3 dark laminations around 14 ft</t>
  </si>
  <si>
    <t>medium, coarse and fine sand, 7.5 YR 6/4</t>
  </si>
  <si>
    <t>gravel and sand lens, 7.5 YR 6/4</t>
  </si>
  <si>
    <t>medium sand grading to coarse and medium sand, 7.5 yR 5/4</t>
  </si>
  <si>
    <t>gravel lens 0.2 cm diameter</t>
  </si>
  <si>
    <t>coarse and medium sand, multi-colored, 7.5 YR 5/4 base, random gravel 0.1-0.5 cm di</t>
  </si>
  <si>
    <t>medium sand , 7.5 YR 5/3</t>
  </si>
  <si>
    <t>medium sand, 7.5 YR 5/3</t>
  </si>
  <si>
    <t>fine sand lens, 7.5 YR 5/4</t>
  </si>
  <si>
    <t>fine sand grading to medium sand</t>
  </si>
  <si>
    <t>coarse sand and gravel, 7.5 YR 7/3 and multi-colored grains</t>
  </si>
  <si>
    <t>coarse and medium sand, 7.5 YR 5/4, homogeneous</t>
  </si>
  <si>
    <t>coarse sand and gravel, pebbles 0.5-1 cm diameter, multi-colored, 7.5 YR 5/4</t>
  </si>
  <si>
    <t>gravel and v. coarse sand, pebbles (0.5-2 cm dia), multicolored</t>
  </si>
  <si>
    <t>coarse sand and gravel</t>
  </si>
  <si>
    <t>large pebbles and coarse sand</t>
  </si>
  <si>
    <t>clay, dense with coarse sand and pebbles, 7.5 YR 3/2</t>
  </si>
  <si>
    <t>clay with pebbles, multiple colors, green - 6/5 GY/2</t>
  </si>
  <si>
    <t>clay, smells like iron, 5 YR 3/1</t>
  </si>
  <si>
    <t>clay with pebbles, multiple colors, green - 6/5 GY/2 and orage, 2.5 YR 6/8</t>
  </si>
  <si>
    <t>crumbly bedrock</t>
  </si>
  <si>
    <t>medium, laminated sand with layers of silt, some pebbles ~0.5 cm dia, 7.5 YR 6/6, layers 5 YR 5/6</t>
  </si>
  <si>
    <t>small grained gravel, coarse sand and silt/clay</t>
  </si>
  <si>
    <t>coarse and medium sand, silt and gravel</t>
  </si>
  <si>
    <t>medium and coarse sand with pebbles, 0.5-3cm dia</t>
  </si>
  <si>
    <t>gravel and coarse sand with silt, 5 YR 5/4, pebbles up to 2'' dia</t>
  </si>
  <si>
    <t>silt 7.5 YR 6/3</t>
  </si>
  <si>
    <t>laminated fine and medium sand, with trace, black silty laminations, 7.5 YR 5/4</t>
  </si>
  <si>
    <t>laminated fine and medium sand, with trace black silty laminations, 7.5 YR 5/4</t>
  </si>
  <si>
    <t>laminated fine and medium sand 7.5 YR 5/4 with trace, black silty laminations</t>
  </si>
  <si>
    <t>medium and coarse sand with laminations of black silt, 7/5 YR 5/4</t>
  </si>
  <si>
    <t>-</t>
  </si>
  <si>
    <t>medium and fine sand with laminations of black silt, few pebbles ~0.3 cm dia, 7.5 YR 6/4</t>
  </si>
  <si>
    <t>coarse sand with laminations of black silt, few pebbles ~0.3 cm dia, 7.5 YR 6/4</t>
  </si>
  <si>
    <t>medium sand, trace silt, v. few small pebbles 2 mm dia, 7.5 YR 5/4</t>
  </si>
  <si>
    <t>gravel with laminated coarse sand and clay, 7.5 YR 4/6</t>
  </si>
  <si>
    <t>coarse sand and trace clay  with few pebbles, 3 mm dia</t>
  </si>
  <si>
    <t>coarse sand with gravel and silt, 0.5-2 cm diameter pebbles, 7.5 YR 4/6</t>
  </si>
  <si>
    <t>gravel with coarse sand and silt, 0.5-4 cm dia pebbles</t>
  </si>
  <si>
    <t>laminated coarse sand with silt, small pebbles, 7.5 YR 4/6</t>
  </si>
  <si>
    <t>coarse sand, 7.5 YR 6/4</t>
  </si>
  <si>
    <t>gravel and coarse sand with trace silt</t>
  </si>
  <si>
    <t>gravel, trace sand and trace silt</t>
  </si>
  <si>
    <t>gravel and silt with trace sand</t>
  </si>
  <si>
    <t>gravel and sand with trace silt</t>
  </si>
  <si>
    <t>silt and sand, 7.5 YR 4/4</t>
  </si>
  <si>
    <t>silt and gravel</t>
  </si>
  <si>
    <t>gravel with trace silt, multi-colored</t>
  </si>
  <si>
    <t>medium and coarse sand with v. trace silt</t>
  </si>
  <si>
    <t>gravel, silt and sand</t>
  </si>
  <si>
    <t>gravel, coarse sand, silt, pebbles up to 3 cm diameter</t>
  </si>
  <si>
    <t>fine sand and silt with pebbles</t>
  </si>
  <si>
    <t>clay and fine sand with pebbles</t>
  </si>
  <si>
    <t>fine and medium sand with silt laminations</t>
  </si>
  <si>
    <t>fine and medium sand with four silt layers about 0.5 in thick, 7.5 4/4</t>
  </si>
  <si>
    <t>no recovery</t>
  </si>
  <si>
    <t>sand, gravel and silt</t>
  </si>
  <si>
    <t>coarse sand with small pebbles 0.5-1cm</t>
  </si>
  <si>
    <t xml:space="preserve">dark clay/silt band </t>
  </si>
  <si>
    <t xml:space="preserve">deformed balck clay/silt band </t>
  </si>
  <si>
    <t>bedrock</t>
  </si>
  <si>
    <t>fine gravel, coarse sand</t>
  </si>
  <si>
    <t>wet</t>
  </si>
  <si>
    <t>silt, sand and gravel, pebbles 2-3 cm</t>
  </si>
  <si>
    <t>clay, gravel, silt, sand</t>
  </si>
  <si>
    <t>silt, clay and bedrock</t>
  </si>
  <si>
    <t>coarse sand with small bits of gravel 7.5YR 4/3</t>
  </si>
  <si>
    <t>Geoprobe core description</t>
  </si>
  <si>
    <t>This information is provided on the condition that neither the U.S. Geological Survey nor the U.S. Government shall be held liable for any damages resulting from the authorized or unauthorized use of the information.</t>
  </si>
  <si>
    <t>Description:</t>
  </si>
  <si>
    <t>Columns are as follows:</t>
  </si>
  <si>
    <t xml:space="preserve">Column 1 (Site #): Geoprobe site number </t>
  </si>
  <si>
    <t>Column 2 (WUWN): Wisconsin Unique Well Number</t>
  </si>
  <si>
    <t>Columns 3 and 4 (Xm), Y(m): Location coordinates in meters, Wisconsin Transverse Mercator, NAD 83 projection.</t>
  </si>
  <si>
    <t>Column 5 (top_elev): elevation of top of sample interval, in feet above mean sea level</t>
  </si>
  <si>
    <t>Column 6 (Detailed description): geologist's description of material sampled; designations such as "10YR 4/3" refer to standard Munsell colors of moist samples</t>
  </si>
  <si>
    <t>Column 7 (prime description): simple summary description of material in interval</t>
  </si>
  <si>
    <t>Column 8 (depth to layer): depth to top of samples interval in feet below land surface.</t>
  </si>
  <si>
    <t>Groundwater Flow Model for the Little Plover River Basin in Wisconsin's Central Sands</t>
  </si>
  <si>
    <t>Bulletin 111 • 2017</t>
  </si>
  <si>
    <t>Appendix 1A. Geoprobe core descriptions</t>
  </si>
  <si>
    <t>This appendix summarizes descriptive data for core samples collected by Geoprobe for the Little Plover River project.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</si>
</sst>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9" x14ac:knownFonts="1">
    <font>
      <sz val="11"/>
      <color theme="1"/>
      <name val="Calibri"/>
      <family val="2"/>
      <scheme val="minor"/>
    </font>
    <font>
      <sz val="11"/>
      <color rgb="FF9C0006"/>
      <name val="Calibri"/>
      <family val="2"/>
      <scheme val="minor"/>
    </font>
    <font>
      <b/>
      <sz val="11"/>
      <color theme="1"/>
      <name val="Calibri"/>
      <family val="2"/>
      <scheme val="minor"/>
    </font>
    <font>
      <sz val="10"/>
      <color theme="1"/>
      <name val="Calibri"/>
      <family val="2"/>
      <scheme val="minor"/>
    </font>
    <font>
      <sz val="10"/>
      <color theme="1"/>
      <name val="Arial"/>
      <family val="2"/>
    </font>
    <font>
      <i/>
      <sz val="11"/>
      <color theme="1"/>
      <name val="Calibri"/>
      <family val="2"/>
      <scheme val="minor"/>
    </font>
    <font>
      <b/>
      <sz val="12"/>
      <color theme="1"/>
      <name val="Calibri"/>
      <family val="2"/>
      <scheme val="minor"/>
    </font>
    <font>
      <b/>
      <sz val="14"/>
      <color theme="1"/>
      <name val="Calibri"/>
      <family val="2"/>
      <scheme val="minor"/>
    </font>
    <font>
      <sz val="8"/>
      <name val="Calibri"/>
      <family val="2"/>
      <scheme val="minor"/>
    </font>
  </fonts>
  <fills count="4">
    <fill>
      <patternFill patternType="none"/>
    </fill>
    <fill>
      <patternFill patternType="gray125"/>
    </fill>
    <fill>
      <patternFill patternType="solid">
        <fgColor rgb="FFFFC7CE"/>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 fillId="2" borderId="0" applyNumberFormat="0" applyBorder="0" applyAlignment="0" applyProtection="0"/>
  </cellStyleXfs>
  <cellXfs count="40">
    <xf numFmtId="0" fontId="0" fillId="0" borderId="0" xfId="0"/>
    <xf numFmtId="0" fontId="0" fillId="0" borderId="0" xfId="0" applyAlignment="1">
      <alignment horizontal="center"/>
    </xf>
    <xf numFmtId="2" fontId="0" fillId="0" borderId="0" xfId="0" applyNumberFormat="1" applyAlignment="1">
      <alignment horizontal="center"/>
    </xf>
    <xf numFmtId="0" fontId="1" fillId="2" borderId="0" xfId="1" applyAlignment="1">
      <alignment horizontal="center"/>
    </xf>
    <xf numFmtId="0" fontId="0" fillId="0" borderId="0" xfId="0" applyAlignment="1">
      <alignment horizontal="center" vertical="center"/>
    </xf>
    <xf numFmtId="0" fontId="0" fillId="0" borderId="0" xfId="0" applyFill="1" applyBorder="1" applyAlignment="1">
      <alignment horizontal="center"/>
    </xf>
    <xf numFmtId="165" fontId="0" fillId="0" borderId="0" xfId="0" applyNumberFormat="1" applyAlignment="1">
      <alignment horizontal="center"/>
    </xf>
    <xf numFmtId="164" fontId="0" fillId="0" borderId="0" xfId="0" applyNumberFormat="1"/>
    <xf numFmtId="0" fontId="0" fillId="0" borderId="0" xfId="0" applyFill="1"/>
    <xf numFmtId="0" fontId="0" fillId="0" borderId="0" xfId="0" applyFill="1" applyAlignment="1">
      <alignment horizontal="center"/>
    </xf>
    <xf numFmtId="165" fontId="0" fillId="0" borderId="0" xfId="0" applyNumberFormat="1" applyFill="1" applyAlignment="1">
      <alignment horizontal="center"/>
    </xf>
    <xf numFmtId="0" fontId="0" fillId="0" borderId="0" xfId="0" applyFont="1" applyFill="1" applyBorder="1"/>
    <xf numFmtId="164" fontId="0" fillId="0" borderId="0" xfId="0" applyNumberFormat="1" applyFont="1" applyFill="1" applyBorder="1"/>
    <xf numFmtId="0" fontId="2" fillId="0" borderId="0" xfId="0" applyFont="1" applyAlignment="1">
      <alignment horizontal="center"/>
    </xf>
    <xf numFmtId="2" fontId="2" fillId="0" borderId="0" xfId="0" applyNumberFormat="1" applyFont="1" applyAlignment="1">
      <alignment horizontal="center"/>
    </xf>
    <xf numFmtId="2" fontId="0" fillId="0" borderId="0" xfId="0" applyNumberFormat="1" applyFill="1" applyAlignment="1">
      <alignment horizontal="center"/>
    </xf>
    <xf numFmtId="164" fontId="3" fillId="3" borderId="1" xfId="0" applyNumberFormat="1" applyFont="1" applyFill="1" applyBorder="1"/>
    <xf numFmtId="0" fontId="4" fillId="0" borderId="0" xfId="0" applyFont="1" applyFill="1" applyBorder="1"/>
    <xf numFmtId="0" fontId="3" fillId="0" borderId="0" xfId="0" applyFont="1" applyFill="1" applyBorder="1" applyAlignment="1">
      <alignment horizontal="right"/>
    </xf>
    <xf numFmtId="0" fontId="4" fillId="0" borderId="0" xfId="0" applyFont="1" applyFill="1" applyBorder="1" applyAlignment="1">
      <alignment horizontal="right"/>
    </xf>
    <xf numFmtId="0" fontId="3" fillId="0" borderId="0" xfId="0" applyFont="1" applyFill="1" applyBorder="1"/>
    <xf numFmtId="0" fontId="0" fillId="0" borderId="0" xfId="0" applyFont="1" applyBorder="1"/>
    <xf numFmtId="165" fontId="0" fillId="0" borderId="0" xfId="0" applyNumberFormat="1" applyFont="1" applyBorder="1" applyAlignment="1">
      <alignment horizontal="center"/>
    </xf>
    <xf numFmtId="164" fontId="3" fillId="0" borderId="0" xfId="0" applyNumberFormat="1" applyFont="1" applyFill="1" applyBorder="1"/>
    <xf numFmtId="165" fontId="0" fillId="0" borderId="0" xfId="0" applyNumberFormat="1" applyFont="1"/>
    <xf numFmtId="165" fontId="0" fillId="0" borderId="0" xfId="0" applyNumberFormat="1" applyFont="1" applyFill="1" applyBorder="1"/>
    <xf numFmtId="0" fontId="0" fillId="0" borderId="0" xfId="0" applyFont="1" applyAlignment="1">
      <alignment horizontal="left"/>
    </xf>
    <xf numFmtId="0" fontId="0" fillId="0" borderId="0" xfId="0" applyAlignment="1">
      <alignment horizontal="center" vertical="center"/>
    </xf>
    <xf numFmtId="0" fontId="0" fillId="0" borderId="0" xfId="0" applyAlignment="1">
      <alignment horizontal="left"/>
    </xf>
    <xf numFmtId="2" fontId="0" fillId="0" borderId="0" xfId="0" applyNumberFormat="1" applyFont="1" applyBorder="1" applyAlignment="1">
      <alignment horizontal="center"/>
    </xf>
    <xf numFmtId="2" fontId="0" fillId="0" borderId="0" xfId="0" applyNumberFormat="1" applyFont="1"/>
    <xf numFmtId="164" fontId="0" fillId="0" borderId="0" xfId="0" applyNumberFormat="1" applyAlignment="1">
      <alignment horizontal="center"/>
    </xf>
    <xf numFmtId="0" fontId="0" fillId="0" borderId="0" xfId="0" applyFill="1" applyAlignment="1">
      <alignment horizontal="left"/>
    </xf>
    <xf numFmtId="2" fontId="0" fillId="0" borderId="0" xfId="0" applyNumberFormat="1" applyFont="1" applyFill="1" applyBorder="1" applyAlignment="1">
      <alignment horizontal="center"/>
    </xf>
    <xf numFmtId="0" fontId="5" fillId="0" borderId="0" xfId="0" applyFont="1" applyAlignment="1">
      <alignment horizontal="left" vertical="top" wrapText="1"/>
    </xf>
    <xf numFmtId="0" fontId="0" fillId="0" borderId="0" xfId="0" applyAlignment="1">
      <alignment horizontal="center" vertical="center"/>
    </xf>
    <xf numFmtId="0" fontId="3" fillId="0" borderId="0" xfId="0" applyFont="1" applyAlignment="1">
      <alignment wrapText="1"/>
    </xf>
    <xf numFmtId="0" fontId="0" fillId="0" borderId="0" xfId="0" applyAlignment="1">
      <alignment wrapText="1"/>
    </xf>
    <xf numFmtId="0" fontId="7" fillId="0" borderId="0" xfId="0" applyFont="1" applyAlignment="1">
      <alignment wrapText="1"/>
    </xf>
    <xf numFmtId="0" fontId="6" fillId="0" borderId="0" xfId="0" applyFont="1"/>
  </cellXfs>
  <cellStyles count="2">
    <cellStyle name="Bad" xfId="1" builtinId="2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styles" Target="styles.xml"/><Relationship Id="rId12" Type="http://schemas.openxmlformats.org/officeDocument/2006/relationships/sharedStrings" Target="sharedStrings.xml"/><Relationship Id="rId13"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tabSelected="1" workbookViewId="0">
      <selection activeCell="A18" sqref="A18"/>
    </sheetView>
  </sheetViews>
  <sheetFormatPr baseColWidth="10" defaultColWidth="8.83203125" defaultRowHeight="15" x14ac:dyDescent="0.2"/>
  <cols>
    <col min="1" max="1" width="80.33203125" customWidth="1"/>
  </cols>
  <sheetData>
    <row r="1" spans="1:1" x14ac:dyDescent="0.2">
      <c r="A1" s="36" t="s">
        <v>307</v>
      </c>
    </row>
    <row r="2" spans="1:1" x14ac:dyDescent="0.2">
      <c r="A2" s="36" t="s">
        <v>308</v>
      </c>
    </row>
    <row r="3" spans="1:1" x14ac:dyDescent="0.2">
      <c r="A3" s="37"/>
    </row>
    <row r="4" spans="1:1" s="39" customFormat="1" ht="19" x14ac:dyDescent="0.25">
      <c r="A4" s="38" t="s">
        <v>309</v>
      </c>
    </row>
    <row r="7" spans="1:1" ht="45" x14ac:dyDescent="0.2">
      <c r="A7" s="34" t="s">
        <v>297</v>
      </c>
    </row>
    <row r="9" spans="1:1" x14ac:dyDescent="0.2">
      <c r="A9" t="s">
        <v>298</v>
      </c>
    </row>
    <row r="10" spans="1:1" x14ac:dyDescent="0.2">
      <c r="A10" t="s">
        <v>310</v>
      </c>
    </row>
    <row r="11" spans="1:1" x14ac:dyDescent="0.2">
      <c r="A11" t="s">
        <v>299</v>
      </c>
    </row>
    <row r="12" spans="1:1" x14ac:dyDescent="0.2">
      <c r="A12" t="s">
        <v>300</v>
      </c>
    </row>
    <row r="13" spans="1:1" x14ac:dyDescent="0.2">
      <c r="A13" t="s">
        <v>301</v>
      </c>
    </row>
    <row r="14" spans="1:1" x14ac:dyDescent="0.2">
      <c r="A14" t="s">
        <v>302</v>
      </c>
    </row>
    <row r="15" spans="1:1" x14ac:dyDescent="0.2">
      <c r="A15" t="s">
        <v>303</v>
      </c>
    </row>
    <row r="16" spans="1:1" x14ac:dyDescent="0.2">
      <c r="A16" t="s">
        <v>304</v>
      </c>
    </row>
    <row r="17" spans="1:1" x14ac:dyDescent="0.2">
      <c r="A17" t="s">
        <v>305</v>
      </c>
    </row>
    <row r="18" spans="1:1" x14ac:dyDescent="0.2">
      <c r="A18" t="s">
        <v>306</v>
      </c>
    </row>
  </sheetData>
  <phoneticPr fontId="8" type="noConversion"/>
  <printOptions gridLines="1"/>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view="pageBreakPreview" workbookViewId="0">
      <selection activeCell="A7" sqref="A7"/>
    </sheetView>
  </sheetViews>
  <sheetFormatPr baseColWidth="10" defaultColWidth="8.83203125" defaultRowHeight="15" x14ac:dyDescent="0.2"/>
  <cols>
    <col min="1" max="3" width="8.83203125" style="1"/>
    <col min="4" max="4" width="16.33203125" style="1" customWidth="1"/>
    <col min="5" max="5" width="18.5" style="2" customWidth="1"/>
    <col min="6" max="6" width="42.33203125" style="1" bestFit="1" customWidth="1"/>
    <col min="7" max="7" width="19.5" style="1" bestFit="1" customWidth="1"/>
    <col min="8" max="8" width="16.5" style="1" bestFit="1" customWidth="1"/>
    <col min="9" max="9" width="16.5" style="1" customWidth="1"/>
    <col min="10" max="10" width="19.5" style="1" bestFit="1" customWidth="1"/>
    <col min="11" max="11" width="16.5" style="1" bestFit="1" customWidth="1"/>
    <col min="12" max="12" width="60.1640625" style="1" customWidth="1"/>
    <col min="13" max="16384" width="8.83203125" style="1"/>
  </cols>
  <sheetData>
    <row r="1" spans="1:11" x14ac:dyDescent="0.2">
      <c r="A1" s="28" t="s">
        <v>296</v>
      </c>
    </row>
    <row r="2" spans="1:11" x14ac:dyDescent="0.2">
      <c r="D2" s="1" t="s">
        <v>9</v>
      </c>
      <c r="E2" s="2">
        <v>1082.5329999999999</v>
      </c>
    </row>
    <row r="3" spans="1:11" x14ac:dyDescent="0.2">
      <c r="A3" s="13" t="s">
        <v>1</v>
      </c>
      <c r="B3" s="13" t="s">
        <v>0</v>
      </c>
      <c r="C3" s="13" t="s">
        <v>3</v>
      </c>
      <c r="D3" s="13" t="s">
        <v>4</v>
      </c>
      <c r="E3" s="14" t="s">
        <v>5</v>
      </c>
      <c r="F3" s="13" t="s">
        <v>196</v>
      </c>
      <c r="G3" s="13" t="s">
        <v>197</v>
      </c>
      <c r="H3" s="13" t="s">
        <v>10</v>
      </c>
      <c r="I3" s="13"/>
    </row>
    <row r="4" spans="1:11" x14ac:dyDescent="0.2">
      <c r="A4" s="1">
        <v>1</v>
      </c>
      <c r="B4" s="1" t="s">
        <v>2</v>
      </c>
      <c r="C4" s="1">
        <v>299188.527</v>
      </c>
      <c r="D4" s="1">
        <v>443613.22239499999</v>
      </c>
      <c r="E4" s="2">
        <f t="shared" ref="E4:E34" si="0">$E$2-H4</f>
        <v>1082.5329999999999</v>
      </c>
      <c r="F4" s="1" t="s">
        <v>129</v>
      </c>
      <c r="G4" s="1" t="s">
        <v>151</v>
      </c>
      <c r="H4" s="1">
        <v>0</v>
      </c>
      <c r="J4" s="28"/>
      <c r="K4"/>
    </row>
    <row r="5" spans="1:11" x14ac:dyDescent="0.2">
      <c r="A5" s="1">
        <v>1</v>
      </c>
      <c r="B5" s="1" t="s">
        <v>2</v>
      </c>
      <c r="C5" s="1">
        <v>299188.527</v>
      </c>
      <c r="D5" s="1">
        <v>443613.22239499999</v>
      </c>
      <c r="E5" s="2">
        <f t="shared" si="0"/>
        <v>1081.433</v>
      </c>
      <c r="F5" s="1" t="s">
        <v>113</v>
      </c>
      <c r="G5" s="1" t="s">
        <v>151</v>
      </c>
      <c r="H5" s="1">
        <v>1.1000000000000001</v>
      </c>
      <c r="J5" s="28"/>
      <c r="K5"/>
    </row>
    <row r="6" spans="1:11" x14ac:dyDescent="0.2">
      <c r="A6" s="1">
        <v>1</v>
      </c>
      <c r="B6" s="1" t="s">
        <v>2</v>
      </c>
      <c r="C6" s="1">
        <v>299188.527</v>
      </c>
      <c r="D6" s="1">
        <v>443613.22239499999</v>
      </c>
      <c r="E6" s="2">
        <f t="shared" si="0"/>
        <v>1080.6329999999998</v>
      </c>
      <c r="F6" s="1" t="s">
        <v>45</v>
      </c>
      <c r="G6" s="1" t="s">
        <v>132</v>
      </c>
      <c r="H6" s="1">
        <v>1.9</v>
      </c>
      <c r="J6" s="28"/>
      <c r="K6"/>
    </row>
    <row r="7" spans="1:11" x14ac:dyDescent="0.2">
      <c r="A7" s="1">
        <v>1</v>
      </c>
      <c r="B7" s="1" t="s">
        <v>2</v>
      </c>
      <c r="C7" s="1">
        <v>299188.527</v>
      </c>
      <c r="D7" s="1">
        <v>443613.22239499999</v>
      </c>
      <c r="E7" s="2">
        <f t="shared" si="0"/>
        <v>1078.5329999999999</v>
      </c>
      <c r="F7" s="1" t="s">
        <v>114</v>
      </c>
      <c r="G7" s="1" t="s">
        <v>132</v>
      </c>
      <c r="H7" s="1">
        <v>4</v>
      </c>
      <c r="J7" s="28"/>
      <c r="K7"/>
    </row>
    <row r="8" spans="1:11" x14ac:dyDescent="0.2">
      <c r="A8" s="1">
        <v>1</v>
      </c>
      <c r="B8" s="1" t="s">
        <v>2</v>
      </c>
      <c r="C8" s="1">
        <v>299188.527</v>
      </c>
      <c r="D8" s="1">
        <v>443613.22239499999</v>
      </c>
      <c r="E8" s="2">
        <f t="shared" si="0"/>
        <v>1077.8329999999999</v>
      </c>
      <c r="F8" s="1" t="s">
        <v>13</v>
      </c>
      <c r="G8" s="1" t="s">
        <v>22</v>
      </c>
      <c r="H8" s="1">
        <v>4.7</v>
      </c>
      <c r="J8" s="28"/>
      <c r="K8"/>
    </row>
    <row r="9" spans="1:11" x14ac:dyDescent="0.2">
      <c r="A9" s="1">
        <v>1</v>
      </c>
      <c r="B9" s="1" t="s">
        <v>2</v>
      </c>
      <c r="C9" s="1">
        <v>299188.527</v>
      </c>
      <c r="D9" s="1">
        <v>443613.22239499999</v>
      </c>
      <c r="E9" s="2">
        <f t="shared" si="0"/>
        <v>1077.5329999999999</v>
      </c>
      <c r="F9" s="1" t="s">
        <v>14</v>
      </c>
      <c r="G9" s="1" t="s">
        <v>132</v>
      </c>
      <c r="H9" s="1">
        <v>5</v>
      </c>
      <c r="J9" s="28"/>
      <c r="K9"/>
    </row>
    <row r="10" spans="1:11" x14ac:dyDescent="0.2">
      <c r="A10" s="1">
        <v>1</v>
      </c>
      <c r="B10" s="1" t="s">
        <v>2</v>
      </c>
      <c r="C10" s="1">
        <v>299188.527</v>
      </c>
      <c r="D10" s="1">
        <v>443613.22239499999</v>
      </c>
      <c r="E10" s="2">
        <f t="shared" si="0"/>
        <v>1074.0329999999999</v>
      </c>
      <c r="F10" s="1" t="s">
        <v>115</v>
      </c>
      <c r="G10" s="1" t="s">
        <v>132</v>
      </c>
      <c r="H10" s="1">
        <v>8.5</v>
      </c>
      <c r="J10" s="28"/>
      <c r="K10"/>
    </row>
    <row r="11" spans="1:11" x14ac:dyDescent="0.2">
      <c r="A11" s="1">
        <v>1</v>
      </c>
      <c r="B11" s="1" t="s">
        <v>2</v>
      </c>
      <c r="C11" s="1">
        <v>299188.527</v>
      </c>
      <c r="D11" s="1">
        <v>443613.22239499999</v>
      </c>
      <c r="E11" s="2">
        <f t="shared" si="0"/>
        <v>1073.3329999999999</v>
      </c>
      <c r="F11" s="1" t="s">
        <v>17</v>
      </c>
      <c r="G11" s="1" t="s">
        <v>132</v>
      </c>
      <c r="H11" s="1">
        <v>9.1999999999999993</v>
      </c>
      <c r="J11" s="28"/>
      <c r="K11"/>
    </row>
    <row r="12" spans="1:11" x14ac:dyDescent="0.2">
      <c r="A12" s="1">
        <v>1</v>
      </c>
      <c r="B12" s="1" t="s">
        <v>2</v>
      </c>
      <c r="C12" s="1">
        <v>299188.527</v>
      </c>
      <c r="D12" s="1">
        <v>443613.22239499999</v>
      </c>
      <c r="E12" s="2">
        <f t="shared" si="0"/>
        <v>1072.5329999999999</v>
      </c>
      <c r="F12" s="1" t="s">
        <v>116</v>
      </c>
      <c r="G12" s="1" t="s">
        <v>132</v>
      </c>
      <c r="H12" s="1">
        <v>10</v>
      </c>
      <c r="J12" s="28"/>
      <c r="K12"/>
    </row>
    <row r="13" spans="1:11" x14ac:dyDescent="0.2">
      <c r="A13" s="1">
        <v>1</v>
      </c>
      <c r="B13" s="1" t="s">
        <v>2</v>
      </c>
      <c r="C13" s="1">
        <v>299188.527</v>
      </c>
      <c r="D13" s="1">
        <v>443613.22239499999</v>
      </c>
      <c r="E13" s="2">
        <f t="shared" si="0"/>
        <v>1071.2329999999999</v>
      </c>
      <c r="F13" s="1" t="s">
        <v>16</v>
      </c>
      <c r="G13" s="1" t="s">
        <v>78</v>
      </c>
      <c r="H13" s="1">
        <v>11.3</v>
      </c>
      <c r="J13" s="28"/>
      <c r="K13"/>
    </row>
    <row r="14" spans="1:11" x14ac:dyDescent="0.2">
      <c r="A14" s="1">
        <v>1</v>
      </c>
      <c r="B14" s="1" t="s">
        <v>2</v>
      </c>
      <c r="C14" s="1">
        <v>299188.527</v>
      </c>
      <c r="D14" s="1">
        <v>443613.22239499999</v>
      </c>
      <c r="E14" s="2">
        <f t="shared" si="0"/>
        <v>1070.8329999999999</v>
      </c>
      <c r="F14" s="1" t="s">
        <v>114</v>
      </c>
      <c r="G14" s="1" t="s">
        <v>132</v>
      </c>
      <c r="H14" s="1">
        <v>11.7</v>
      </c>
      <c r="J14" s="28"/>
      <c r="K14"/>
    </row>
    <row r="15" spans="1:11" x14ac:dyDescent="0.2">
      <c r="A15" s="1">
        <v>1</v>
      </c>
      <c r="B15" s="1" t="s">
        <v>2</v>
      </c>
      <c r="C15" s="1">
        <v>299188.527</v>
      </c>
      <c r="D15" s="1">
        <v>443613.22239499999</v>
      </c>
      <c r="E15" s="2">
        <f t="shared" si="0"/>
        <v>1068.8329999999999</v>
      </c>
      <c r="F15" s="1" t="s">
        <v>117</v>
      </c>
      <c r="G15" s="1" t="s">
        <v>132</v>
      </c>
      <c r="H15" s="1">
        <v>13.7</v>
      </c>
    </row>
    <row r="16" spans="1:11" x14ac:dyDescent="0.2">
      <c r="A16" s="1">
        <v>1</v>
      </c>
      <c r="B16" s="1" t="s">
        <v>2</v>
      </c>
      <c r="C16" s="1">
        <v>299188.527</v>
      </c>
      <c r="D16" s="1">
        <v>443613.22239499999</v>
      </c>
      <c r="E16" s="2">
        <f t="shared" si="0"/>
        <v>1067.5329999999999</v>
      </c>
      <c r="F16" s="1" t="s">
        <v>118</v>
      </c>
      <c r="G16" s="1" t="s">
        <v>132</v>
      </c>
      <c r="H16" s="1">
        <v>15</v>
      </c>
    </row>
    <row r="17" spans="1:8" x14ac:dyDescent="0.2">
      <c r="A17" s="1">
        <v>1</v>
      </c>
      <c r="B17" s="1" t="s">
        <v>2</v>
      </c>
      <c r="C17" s="1">
        <v>299188.527</v>
      </c>
      <c r="D17" s="1">
        <v>443613.22239499999</v>
      </c>
      <c r="E17" s="2">
        <f t="shared" si="0"/>
        <v>1064.933</v>
      </c>
      <c r="F17" s="1" t="s">
        <v>119</v>
      </c>
      <c r="G17" s="1" t="s">
        <v>132</v>
      </c>
      <c r="H17" s="1">
        <v>17.600000000000001</v>
      </c>
    </row>
    <row r="18" spans="1:8" x14ac:dyDescent="0.2">
      <c r="A18" s="1">
        <v>1</v>
      </c>
      <c r="B18" s="1" t="s">
        <v>2</v>
      </c>
      <c r="C18" s="1">
        <v>299188.527</v>
      </c>
      <c r="D18" s="1">
        <v>443613.22239499999</v>
      </c>
      <c r="E18" s="2">
        <f t="shared" si="0"/>
        <v>1062.933</v>
      </c>
      <c r="F18" s="1" t="s">
        <v>15</v>
      </c>
      <c r="G18" s="1" t="s">
        <v>135</v>
      </c>
      <c r="H18" s="1">
        <v>19.600000000000001</v>
      </c>
    </row>
    <row r="19" spans="1:8" x14ac:dyDescent="0.2">
      <c r="A19" s="1">
        <v>1</v>
      </c>
      <c r="B19" s="1" t="s">
        <v>2</v>
      </c>
      <c r="C19" s="1">
        <v>299188.527</v>
      </c>
      <c r="D19" s="1">
        <v>443613.22239499999</v>
      </c>
      <c r="E19" s="2">
        <f t="shared" si="0"/>
        <v>1062.5329999999999</v>
      </c>
      <c r="F19" s="1" t="s">
        <v>120</v>
      </c>
      <c r="G19" s="1" t="s">
        <v>132</v>
      </c>
      <c r="H19" s="1">
        <v>20</v>
      </c>
    </row>
    <row r="20" spans="1:8" x14ac:dyDescent="0.2">
      <c r="A20" s="1">
        <v>1</v>
      </c>
      <c r="B20" s="1" t="s">
        <v>2</v>
      </c>
      <c r="C20" s="1">
        <v>299188.527</v>
      </c>
      <c r="D20" s="1">
        <v>443613.22239499999</v>
      </c>
      <c r="E20" s="2">
        <f t="shared" si="0"/>
        <v>1060.2329999999999</v>
      </c>
      <c r="F20" s="1" t="s">
        <v>295</v>
      </c>
      <c r="G20" s="1" t="s">
        <v>78</v>
      </c>
      <c r="H20" s="1">
        <v>22.3</v>
      </c>
    </row>
    <row r="21" spans="1:8" x14ac:dyDescent="0.2">
      <c r="A21" s="1">
        <v>1</v>
      </c>
      <c r="B21" s="1" t="s">
        <v>2</v>
      </c>
      <c r="C21" s="1">
        <v>299188.527</v>
      </c>
      <c r="D21" s="1">
        <v>443613.22239499999</v>
      </c>
      <c r="E21" s="2">
        <f t="shared" si="0"/>
        <v>1052.5329999999999</v>
      </c>
      <c r="F21" s="1" t="s">
        <v>121</v>
      </c>
      <c r="G21" s="1" t="s">
        <v>78</v>
      </c>
      <c r="H21" s="1">
        <v>30</v>
      </c>
    </row>
    <row r="22" spans="1:8" x14ac:dyDescent="0.2">
      <c r="A22" s="1">
        <v>1</v>
      </c>
      <c r="B22" s="1" t="s">
        <v>2</v>
      </c>
      <c r="C22" s="1">
        <v>299188.527</v>
      </c>
      <c r="D22" s="1">
        <v>443613.22239499999</v>
      </c>
      <c r="E22" s="2">
        <f t="shared" si="0"/>
        <v>1042.5329999999999</v>
      </c>
      <c r="F22" s="1" t="s">
        <v>122</v>
      </c>
      <c r="G22" s="1" t="s">
        <v>132</v>
      </c>
      <c r="H22" s="1">
        <v>40</v>
      </c>
    </row>
    <row r="23" spans="1:8" x14ac:dyDescent="0.2">
      <c r="A23" s="1">
        <v>1</v>
      </c>
      <c r="B23" s="1" t="s">
        <v>2</v>
      </c>
      <c r="C23" s="1">
        <v>299188.527</v>
      </c>
      <c r="D23" s="1">
        <v>443613.22239499999</v>
      </c>
      <c r="E23" s="2">
        <f t="shared" si="0"/>
        <v>1040.6329999999998</v>
      </c>
      <c r="F23" s="1" t="s">
        <v>47</v>
      </c>
      <c r="G23" s="1" t="s">
        <v>78</v>
      </c>
      <c r="H23" s="1">
        <v>41.9</v>
      </c>
    </row>
    <row r="24" spans="1:8" x14ac:dyDescent="0.2">
      <c r="A24" s="1">
        <v>1</v>
      </c>
      <c r="B24" s="1" t="s">
        <v>2</v>
      </c>
      <c r="C24" s="1">
        <v>299188.527</v>
      </c>
      <c r="D24" s="1">
        <v>443613.22239499999</v>
      </c>
      <c r="E24" s="2">
        <f t="shared" si="0"/>
        <v>1040.3329999999999</v>
      </c>
      <c r="F24" s="1" t="s">
        <v>19</v>
      </c>
      <c r="G24" s="1" t="s">
        <v>132</v>
      </c>
      <c r="H24" s="1">
        <v>42.2</v>
      </c>
    </row>
    <row r="25" spans="1:8" x14ac:dyDescent="0.2">
      <c r="A25" s="1">
        <v>1</v>
      </c>
      <c r="B25" s="1" t="s">
        <v>2</v>
      </c>
      <c r="C25" s="1">
        <v>299188.527</v>
      </c>
      <c r="D25" s="1">
        <v>443613.22239499999</v>
      </c>
      <c r="E25" s="2">
        <f t="shared" si="0"/>
        <v>1038.8329999999999</v>
      </c>
      <c r="F25" s="1" t="s">
        <v>123</v>
      </c>
      <c r="G25" s="1" t="s">
        <v>78</v>
      </c>
      <c r="H25" s="1">
        <v>43.7</v>
      </c>
    </row>
    <row r="26" spans="1:8" x14ac:dyDescent="0.2">
      <c r="A26" s="1">
        <v>1</v>
      </c>
      <c r="B26" s="1" t="s">
        <v>2</v>
      </c>
      <c r="C26" s="1">
        <v>299188.527</v>
      </c>
      <c r="D26" s="1">
        <v>443613.22239499999</v>
      </c>
      <c r="E26" s="2">
        <f t="shared" si="0"/>
        <v>1037.8329999999999</v>
      </c>
      <c r="F26" s="1" t="s">
        <v>286</v>
      </c>
      <c r="G26" s="1" t="s">
        <v>132</v>
      </c>
      <c r="H26" s="1">
        <v>44.7</v>
      </c>
    </row>
    <row r="27" spans="1:8" x14ac:dyDescent="0.2">
      <c r="A27" s="1">
        <v>1</v>
      </c>
      <c r="B27" s="1" t="s">
        <v>2</v>
      </c>
      <c r="C27" s="1">
        <v>299188.527</v>
      </c>
      <c r="D27" s="1">
        <v>443613.22239499999</v>
      </c>
      <c r="E27" s="2">
        <f t="shared" si="0"/>
        <v>1036.8329999999999</v>
      </c>
      <c r="F27" s="1" t="s">
        <v>20</v>
      </c>
      <c r="G27" s="1" t="s">
        <v>135</v>
      </c>
      <c r="H27" s="1">
        <v>45.7</v>
      </c>
    </row>
    <row r="28" spans="1:8" x14ac:dyDescent="0.2">
      <c r="A28" s="1">
        <v>1</v>
      </c>
      <c r="B28" s="1" t="s">
        <v>2</v>
      </c>
      <c r="C28" s="1">
        <v>299188.527</v>
      </c>
      <c r="D28" s="1">
        <v>443613.22239499999</v>
      </c>
      <c r="E28" s="2">
        <f t="shared" si="0"/>
        <v>1034.8329999999999</v>
      </c>
      <c r="F28" s="1" t="s">
        <v>124</v>
      </c>
      <c r="G28" s="1" t="s">
        <v>134</v>
      </c>
      <c r="H28" s="1">
        <v>47.7</v>
      </c>
    </row>
    <row r="29" spans="1:8" x14ac:dyDescent="0.2">
      <c r="A29" s="1">
        <v>1</v>
      </c>
      <c r="B29" s="1" t="s">
        <v>2</v>
      </c>
      <c r="C29" s="1">
        <v>299188.527</v>
      </c>
      <c r="D29" s="1">
        <v>443613.22239499999</v>
      </c>
      <c r="E29" s="2">
        <f t="shared" si="0"/>
        <v>1032.8329999999999</v>
      </c>
      <c r="F29" s="1" t="s">
        <v>21</v>
      </c>
      <c r="G29" s="1" t="s">
        <v>134</v>
      </c>
      <c r="H29" s="1">
        <v>49.7</v>
      </c>
    </row>
    <row r="30" spans="1:8" x14ac:dyDescent="0.2">
      <c r="A30" s="1">
        <v>1</v>
      </c>
      <c r="B30" s="1" t="s">
        <v>2</v>
      </c>
      <c r="C30" s="1">
        <v>299188.527</v>
      </c>
      <c r="D30" s="1">
        <v>443613.22239499999</v>
      </c>
      <c r="E30" s="2">
        <f t="shared" si="0"/>
        <v>1032.5329999999999</v>
      </c>
      <c r="F30" s="1" t="s">
        <v>125</v>
      </c>
      <c r="G30" s="1" t="s">
        <v>134</v>
      </c>
      <c r="H30" s="1">
        <v>50</v>
      </c>
    </row>
    <row r="31" spans="1:8" x14ac:dyDescent="0.2">
      <c r="A31" s="1">
        <v>1</v>
      </c>
      <c r="B31" s="1" t="s">
        <v>2</v>
      </c>
      <c r="C31" s="1">
        <v>299188.527</v>
      </c>
      <c r="D31" s="1">
        <v>443613.22239499999</v>
      </c>
      <c r="E31" s="2">
        <f t="shared" si="0"/>
        <v>1032.1329999999998</v>
      </c>
      <c r="F31" s="1" t="s">
        <v>200</v>
      </c>
      <c r="G31" s="1" t="s">
        <v>134</v>
      </c>
      <c r="H31" s="1">
        <v>50.4</v>
      </c>
    </row>
    <row r="32" spans="1:8" x14ac:dyDescent="0.2">
      <c r="A32" s="1">
        <v>1</v>
      </c>
      <c r="B32" s="1" t="s">
        <v>2</v>
      </c>
      <c r="C32" s="1">
        <v>299188.527</v>
      </c>
      <c r="D32" s="1">
        <v>443613.22239499999</v>
      </c>
      <c r="E32" s="2">
        <f t="shared" si="0"/>
        <v>1031.7329999999999</v>
      </c>
      <c r="F32" s="1" t="s">
        <v>126</v>
      </c>
      <c r="G32" s="1" t="s">
        <v>134</v>
      </c>
      <c r="H32" s="1">
        <v>50.8</v>
      </c>
    </row>
    <row r="33" spans="1:8" x14ac:dyDescent="0.2">
      <c r="A33" s="1">
        <v>1</v>
      </c>
      <c r="B33" s="1" t="s">
        <v>2</v>
      </c>
      <c r="C33" s="1">
        <v>299188.527</v>
      </c>
      <c r="D33" s="1">
        <v>443613.22239499999</v>
      </c>
      <c r="E33" s="2">
        <f t="shared" si="0"/>
        <v>1030.0329999999999</v>
      </c>
      <c r="F33" s="1" t="s">
        <v>127</v>
      </c>
      <c r="G33" s="1" t="s">
        <v>134</v>
      </c>
      <c r="H33" s="1">
        <v>52.5</v>
      </c>
    </row>
    <row r="34" spans="1:8" x14ac:dyDescent="0.2">
      <c r="A34" s="1">
        <v>1</v>
      </c>
      <c r="B34" s="1" t="s">
        <v>2</v>
      </c>
      <c r="C34" s="1">
        <v>299188.527</v>
      </c>
      <c r="D34" s="1">
        <v>443613.22239499999</v>
      </c>
      <c r="E34" s="2">
        <f t="shared" si="0"/>
        <v>1028.5329999999999</v>
      </c>
      <c r="F34" s="1" t="s">
        <v>127</v>
      </c>
      <c r="G34" s="1" t="s">
        <v>134</v>
      </c>
      <c r="H34" s="1">
        <v>54</v>
      </c>
    </row>
  </sheetData>
  <phoneticPr fontId="8" type="noConversion"/>
  <printOptions gridLines="1"/>
  <pageMargins left="0.7" right="0.7" top="0.75" bottom="0.75" header="0.3" footer="0.3"/>
  <pageSetup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1"/>
  <sheetViews>
    <sheetView view="pageBreakPreview" workbookViewId="0">
      <selection activeCell="A7" sqref="A7"/>
    </sheetView>
  </sheetViews>
  <sheetFormatPr baseColWidth="10" defaultColWidth="8.83203125" defaultRowHeight="15" x14ac:dyDescent="0.2"/>
  <cols>
    <col min="1" max="2" width="8.83203125" style="1"/>
    <col min="3" max="3" width="9.5" style="1" bestFit="1" customWidth="1"/>
    <col min="4" max="4" width="18" style="1" customWidth="1"/>
    <col min="5" max="5" width="11.5" style="2" customWidth="1"/>
    <col min="6" max="6" width="50.1640625" style="1" bestFit="1" customWidth="1"/>
    <col min="7" max="7" width="14.83203125" style="1" bestFit="1" customWidth="1"/>
    <col min="8" max="8" width="16.5" style="1" bestFit="1" customWidth="1"/>
    <col min="9" max="9" width="17.33203125" style="1" customWidth="1"/>
    <col min="10" max="10" width="65.1640625" style="1" customWidth="1"/>
    <col min="11" max="13" width="8.83203125" style="1"/>
    <col min="14" max="14" width="28" style="1" bestFit="1" customWidth="1"/>
    <col min="15" max="16384" width="8.83203125" style="1"/>
  </cols>
  <sheetData>
    <row r="1" spans="1:8" x14ac:dyDescent="0.2">
      <c r="A1" s="28" t="s">
        <v>296</v>
      </c>
    </row>
    <row r="2" spans="1:8" x14ac:dyDescent="0.2">
      <c r="D2" s="1" t="s">
        <v>128</v>
      </c>
      <c r="E2" s="2">
        <v>1089.5640000000001</v>
      </c>
    </row>
    <row r="3" spans="1:8" x14ac:dyDescent="0.2">
      <c r="A3" s="13" t="s">
        <v>1</v>
      </c>
      <c r="B3" s="13" t="s">
        <v>0</v>
      </c>
      <c r="C3" s="13" t="s">
        <v>3</v>
      </c>
      <c r="D3" s="13" t="s">
        <v>4</v>
      </c>
      <c r="E3" s="14" t="s">
        <v>5</v>
      </c>
      <c r="F3" s="13" t="s">
        <v>196</v>
      </c>
      <c r="G3" s="13" t="s">
        <v>197</v>
      </c>
      <c r="H3" s="13" t="s">
        <v>10</v>
      </c>
    </row>
    <row r="4" spans="1:8" x14ac:dyDescent="0.2">
      <c r="A4" s="1">
        <v>2</v>
      </c>
      <c r="B4" s="1" t="s">
        <v>6</v>
      </c>
      <c r="C4" s="1">
        <v>559901.25388400001</v>
      </c>
      <c r="D4" s="1">
        <v>443957.27131699998</v>
      </c>
      <c r="E4" s="2">
        <f t="shared" ref="E4:E35" si="0">$E$2-H4</f>
        <v>1089.5640000000001</v>
      </c>
      <c r="F4" s="1" t="s">
        <v>130</v>
      </c>
      <c r="G4" s="1" t="s">
        <v>151</v>
      </c>
      <c r="H4" s="1">
        <v>0</v>
      </c>
    </row>
    <row r="5" spans="1:8" x14ac:dyDescent="0.2">
      <c r="A5" s="1">
        <v>2</v>
      </c>
      <c r="B5" s="1" t="s">
        <v>6</v>
      </c>
      <c r="C5" s="1">
        <v>559901.25388400001</v>
      </c>
      <c r="D5" s="1">
        <v>443957.27131699998</v>
      </c>
      <c r="E5" s="2">
        <f t="shared" si="0"/>
        <v>1088.4640000000002</v>
      </c>
      <c r="F5" s="1" t="s">
        <v>28</v>
      </c>
      <c r="G5" s="1" t="s">
        <v>151</v>
      </c>
      <c r="H5" s="1">
        <v>1.1000000000000001</v>
      </c>
    </row>
    <row r="6" spans="1:8" x14ac:dyDescent="0.2">
      <c r="A6" s="1">
        <v>2</v>
      </c>
      <c r="B6" s="1" t="s">
        <v>6</v>
      </c>
      <c r="C6" s="1">
        <v>559901.25388400001</v>
      </c>
      <c r="D6" s="1">
        <v>443957.27131699998</v>
      </c>
      <c r="E6" s="2">
        <f t="shared" si="0"/>
        <v>1087.5640000000001</v>
      </c>
      <c r="F6" s="1" t="s">
        <v>29</v>
      </c>
      <c r="G6" s="1" t="s">
        <v>132</v>
      </c>
      <c r="H6" s="1">
        <v>2</v>
      </c>
    </row>
    <row r="7" spans="1:8" x14ac:dyDescent="0.2">
      <c r="A7" s="1">
        <v>2</v>
      </c>
      <c r="B7" s="1" t="s">
        <v>6</v>
      </c>
      <c r="C7" s="1">
        <v>559901.25388400001</v>
      </c>
      <c r="D7" s="1">
        <v>443957.27131699998</v>
      </c>
      <c r="E7" s="2">
        <f t="shared" si="0"/>
        <v>1086.664</v>
      </c>
      <c r="F7" s="1" t="s">
        <v>23</v>
      </c>
      <c r="G7" s="1" t="s">
        <v>78</v>
      </c>
      <c r="H7" s="1">
        <v>2.9</v>
      </c>
    </row>
    <row r="8" spans="1:8" x14ac:dyDescent="0.2">
      <c r="A8" s="1">
        <v>2</v>
      </c>
      <c r="B8" s="1" t="s">
        <v>6</v>
      </c>
      <c r="C8" s="1">
        <v>559901.25388400001</v>
      </c>
      <c r="D8" s="1">
        <v>443957.27131699998</v>
      </c>
      <c r="E8" s="2">
        <f t="shared" si="0"/>
        <v>1084.9640000000002</v>
      </c>
      <c r="F8" s="1" t="s">
        <v>13</v>
      </c>
      <c r="G8" s="1" t="s">
        <v>22</v>
      </c>
      <c r="H8" s="1">
        <v>4.5999999999999996</v>
      </c>
    </row>
    <row r="9" spans="1:8" x14ac:dyDescent="0.2">
      <c r="A9" s="1">
        <v>2</v>
      </c>
      <c r="B9" s="1" t="s">
        <v>6</v>
      </c>
      <c r="C9" s="1">
        <v>559901.25388400001</v>
      </c>
      <c r="D9" s="1">
        <v>443957.27131699998</v>
      </c>
      <c r="E9" s="2">
        <f t="shared" si="0"/>
        <v>1084.9080000000001</v>
      </c>
      <c r="F9" s="1" t="s">
        <v>24</v>
      </c>
      <c r="G9" s="1" t="s">
        <v>133</v>
      </c>
      <c r="H9" s="1">
        <v>4.6559999999999997</v>
      </c>
    </row>
    <row r="10" spans="1:8" x14ac:dyDescent="0.2">
      <c r="A10" s="1">
        <v>2</v>
      </c>
      <c r="B10" s="1" t="s">
        <v>6</v>
      </c>
      <c r="C10" s="1">
        <v>559901.25388400001</v>
      </c>
      <c r="D10" s="1">
        <v>443957.27131699998</v>
      </c>
      <c r="E10" s="2">
        <f t="shared" si="0"/>
        <v>1084.5640000000001</v>
      </c>
      <c r="F10" s="1" t="s">
        <v>30</v>
      </c>
      <c r="G10" s="1" t="s">
        <v>132</v>
      </c>
      <c r="H10" s="1">
        <v>5</v>
      </c>
    </row>
    <row r="11" spans="1:8" x14ac:dyDescent="0.2">
      <c r="A11" s="1">
        <v>2</v>
      </c>
      <c r="B11" s="1" t="s">
        <v>6</v>
      </c>
      <c r="C11" s="1">
        <v>559901.25388400001</v>
      </c>
      <c r="D11" s="1">
        <v>443957.27131699998</v>
      </c>
      <c r="E11" s="2">
        <f t="shared" si="0"/>
        <v>1083.9640000000002</v>
      </c>
      <c r="F11" s="1" t="s">
        <v>31</v>
      </c>
      <c r="G11" s="1" t="s">
        <v>132</v>
      </c>
      <c r="H11" s="1">
        <v>5.6</v>
      </c>
    </row>
    <row r="12" spans="1:8" x14ac:dyDescent="0.2">
      <c r="A12" s="1">
        <v>2</v>
      </c>
      <c r="B12" s="1" t="s">
        <v>6</v>
      </c>
      <c r="C12" s="1">
        <v>559901.25388400001</v>
      </c>
      <c r="D12" s="1">
        <v>443957.27131699998</v>
      </c>
      <c r="E12" s="2">
        <f t="shared" si="0"/>
        <v>1083.7640000000001</v>
      </c>
      <c r="F12" s="1" t="s">
        <v>32</v>
      </c>
      <c r="G12" s="1" t="s">
        <v>132</v>
      </c>
      <c r="H12" s="1">
        <v>5.8</v>
      </c>
    </row>
    <row r="13" spans="1:8" x14ac:dyDescent="0.2">
      <c r="A13" s="1">
        <v>2</v>
      </c>
      <c r="B13" s="1" t="s">
        <v>6</v>
      </c>
      <c r="C13" s="1">
        <v>559901.25388400001</v>
      </c>
      <c r="D13" s="1">
        <v>443957.27131699998</v>
      </c>
      <c r="E13" s="2">
        <f t="shared" si="0"/>
        <v>1082.7640000000001</v>
      </c>
      <c r="F13" s="1" t="s">
        <v>31</v>
      </c>
      <c r="G13" s="1" t="s">
        <v>132</v>
      </c>
      <c r="H13" s="1">
        <v>6.8</v>
      </c>
    </row>
    <row r="14" spans="1:8" x14ac:dyDescent="0.2">
      <c r="A14" s="1">
        <v>2</v>
      </c>
      <c r="B14" s="1" t="s">
        <v>6</v>
      </c>
      <c r="C14" s="1">
        <v>559901.25388400001</v>
      </c>
      <c r="D14" s="1">
        <v>443957.27131699998</v>
      </c>
      <c r="E14" s="2">
        <f t="shared" si="0"/>
        <v>1082.664</v>
      </c>
      <c r="F14" s="1" t="s">
        <v>33</v>
      </c>
      <c r="G14" s="1" t="s">
        <v>132</v>
      </c>
      <c r="H14" s="1">
        <v>6.9</v>
      </c>
    </row>
    <row r="15" spans="1:8" x14ac:dyDescent="0.2">
      <c r="A15" s="1">
        <v>2</v>
      </c>
      <c r="B15" s="1" t="s">
        <v>6</v>
      </c>
      <c r="C15" s="1">
        <v>559901.25388400001</v>
      </c>
      <c r="D15" s="1">
        <v>443957.27131699998</v>
      </c>
      <c r="E15" s="2">
        <f t="shared" si="0"/>
        <v>1081.864</v>
      </c>
      <c r="F15" s="1" t="s">
        <v>34</v>
      </c>
      <c r="G15" s="1" t="s">
        <v>78</v>
      </c>
      <c r="H15" s="1">
        <v>7.7</v>
      </c>
    </row>
    <row r="16" spans="1:8" x14ac:dyDescent="0.2">
      <c r="A16" s="1">
        <v>2</v>
      </c>
      <c r="B16" s="1" t="s">
        <v>6</v>
      </c>
      <c r="C16" s="1">
        <v>559901.25388400001</v>
      </c>
      <c r="D16" s="1">
        <v>443957.27131699998</v>
      </c>
      <c r="E16" s="2">
        <f t="shared" si="0"/>
        <v>1081.0640000000001</v>
      </c>
      <c r="F16" s="1" t="s">
        <v>23</v>
      </c>
      <c r="G16" s="1" t="s">
        <v>78</v>
      </c>
      <c r="H16" s="1">
        <v>8.5</v>
      </c>
    </row>
    <row r="17" spans="1:8" x14ac:dyDescent="0.2">
      <c r="A17" s="1">
        <v>2</v>
      </c>
      <c r="B17" s="1" t="s">
        <v>6</v>
      </c>
      <c r="C17" s="1">
        <v>559901.25388400001</v>
      </c>
      <c r="D17" s="1">
        <v>443957.27131699998</v>
      </c>
      <c r="E17" s="2">
        <f t="shared" si="0"/>
        <v>1079.864</v>
      </c>
      <c r="F17" s="1" t="s">
        <v>35</v>
      </c>
      <c r="G17" s="1" t="s">
        <v>78</v>
      </c>
      <c r="H17" s="1">
        <v>9.6999999999999993</v>
      </c>
    </row>
    <row r="18" spans="1:8" x14ac:dyDescent="0.2">
      <c r="A18" s="1">
        <v>2</v>
      </c>
      <c r="B18" s="1" t="s">
        <v>6</v>
      </c>
      <c r="C18" s="1">
        <v>559901.25388400001</v>
      </c>
      <c r="D18" s="1">
        <v>443957.27131699998</v>
      </c>
      <c r="E18" s="2">
        <f t="shared" si="0"/>
        <v>1079.5640000000001</v>
      </c>
      <c r="F18" s="1" t="s">
        <v>26</v>
      </c>
      <c r="G18" s="1" t="s">
        <v>133</v>
      </c>
      <c r="H18" s="1">
        <v>10</v>
      </c>
    </row>
    <row r="19" spans="1:8" x14ac:dyDescent="0.2">
      <c r="A19" s="1">
        <v>2</v>
      </c>
      <c r="B19" s="1" t="s">
        <v>6</v>
      </c>
      <c r="C19" s="1">
        <v>559901.25388400001</v>
      </c>
      <c r="D19" s="1">
        <v>443957.27131699998</v>
      </c>
      <c r="E19" s="2">
        <f t="shared" si="0"/>
        <v>1079.0840000000001</v>
      </c>
      <c r="F19" s="1" t="s">
        <v>27</v>
      </c>
      <c r="G19" s="1" t="s">
        <v>132</v>
      </c>
      <c r="H19" s="1">
        <v>10.48</v>
      </c>
    </row>
    <row r="20" spans="1:8" x14ac:dyDescent="0.2">
      <c r="A20" s="1">
        <v>2</v>
      </c>
      <c r="B20" s="1" t="s">
        <v>6</v>
      </c>
      <c r="C20" s="1">
        <v>559901.25388400001</v>
      </c>
      <c r="D20" s="1">
        <v>443957.27131699998</v>
      </c>
      <c r="E20" s="2">
        <f t="shared" si="0"/>
        <v>1079.0340000000001</v>
      </c>
      <c r="F20" s="1" t="s">
        <v>33</v>
      </c>
      <c r="G20" s="1" t="s">
        <v>132</v>
      </c>
      <c r="H20" s="1">
        <v>10.53</v>
      </c>
    </row>
    <row r="21" spans="1:8" x14ac:dyDescent="0.2">
      <c r="A21" s="1">
        <v>2</v>
      </c>
      <c r="B21" s="1" t="s">
        <v>6</v>
      </c>
      <c r="C21" s="1">
        <v>559901.25388400001</v>
      </c>
      <c r="D21" s="1">
        <v>443957.27131699998</v>
      </c>
      <c r="E21" s="2">
        <f t="shared" si="0"/>
        <v>1078.614</v>
      </c>
      <c r="F21" s="1" t="s">
        <v>37</v>
      </c>
      <c r="G21" s="1" t="s">
        <v>132</v>
      </c>
      <c r="H21" s="1">
        <v>10.95</v>
      </c>
    </row>
    <row r="22" spans="1:8" x14ac:dyDescent="0.2">
      <c r="A22" s="1">
        <v>2</v>
      </c>
      <c r="B22" s="1" t="s">
        <v>6</v>
      </c>
      <c r="C22" s="1">
        <v>559901.25388400001</v>
      </c>
      <c r="D22" s="1">
        <v>443957.27131699998</v>
      </c>
      <c r="E22" s="2">
        <f t="shared" si="0"/>
        <v>1078.5640000000001</v>
      </c>
      <c r="F22" s="1" t="s">
        <v>36</v>
      </c>
      <c r="G22" s="1" t="s">
        <v>132</v>
      </c>
      <c r="H22" s="1">
        <v>11</v>
      </c>
    </row>
    <row r="23" spans="1:8" x14ac:dyDescent="0.2">
      <c r="A23" s="1">
        <v>2</v>
      </c>
      <c r="B23" s="1" t="s">
        <v>6</v>
      </c>
      <c r="C23" s="1">
        <v>559901.25388400001</v>
      </c>
      <c r="D23" s="1">
        <v>443957.27131699998</v>
      </c>
      <c r="E23" s="2">
        <f t="shared" si="0"/>
        <v>1078.2940000000001</v>
      </c>
      <c r="F23" s="1" t="s">
        <v>37</v>
      </c>
      <c r="G23" s="1" t="s">
        <v>132</v>
      </c>
      <c r="H23" s="1">
        <v>11.27</v>
      </c>
    </row>
    <row r="24" spans="1:8" x14ac:dyDescent="0.2">
      <c r="A24" s="1">
        <v>2</v>
      </c>
      <c r="B24" s="1" t="s">
        <v>6</v>
      </c>
      <c r="C24" s="1">
        <v>559901.25388400001</v>
      </c>
      <c r="D24" s="1">
        <v>443957.27131699998</v>
      </c>
      <c r="E24" s="2">
        <f t="shared" si="0"/>
        <v>1078.1940000000002</v>
      </c>
      <c r="F24" s="1" t="s">
        <v>36</v>
      </c>
      <c r="G24" s="1" t="s">
        <v>132</v>
      </c>
      <c r="H24" s="1">
        <v>11.37</v>
      </c>
    </row>
    <row r="25" spans="1:8" x14ac:dyDescent="0.2">
      <c r="A25" s="1">
        <v>2</v>
      </c>
      <c r="B25" s="1" t="s">
        <v>6</v>
      </c>
      <c r="C25" s="1">
        <v>559901.25388400001</v>
      </c>
      <c r="D25" s="1">
        <v>443957.27131699998</v>
      </c>
      <c r="E25" s="2">
        <f t="shared" si="0"/>
        <v>1077.7640000000001</v>
      </c>
      <c r="F25" s="1" t="s">
        <v>37</v>
      </c>
      <c r="G25" s="1" t="s">
        <v>132</v>
      </c>
      <c r="H25" s="1">
        <v>11.8</v>
      </c>
    </row>
    <row r="26" spans="1:8" x14ac:dyDescent="0.2">
      <c r="A26" s="1">
        <v>2</v>
      </c>
      <c r="B26" s="1" t="s">
        <v>6</v>
      </c>
      <c r="C26" s="1">
        <v>559901.25388400001</v>
      </c>
      <c r="D26" s="1">
        <v>443957.27131699998</v>
      </c>
      <c r="E26" s="2">
        <f t="shared" si="0"/>
        <v>1077.664</v>
      </c>
      <c r="F26" s="1" t="s">
        <v>36</v>
      </c>
      <c r="G26" s="1" t="s">
        <v>132</v>
      </c>
      <c r="H26" s="1">
        <v>11.9</v>
      </c>
    </row>
    <row r="27" spans="1:8" x14ac:dyDescent="0.2">
      <c r="A27" s="1">
        <v>2</v>
      </c>
      <c r="B27" s="1" t="s">
        <v>6</v>
      </c>
      <c r="C27" s="1">
        <v>559901.25388400001</v>
      </c>
      <c r="D27" s="1">
        <v>443957.27131699998</v>
      </c>
      <c r="E27" s="2">
        <f t="shared" si="0"/>
        <v>1077.364</v>
      </c>
      <c r="F27" s="1" t="s">
        <v>38</v>
      </c>
      <c r="G27" s="1" t="s">
        <v>132</v>
      </c>
      <c r="H27" s="1">
        <v>12.2</v>
      </c>
    </row>
    <row r="28" spans="1:8" x14ac:dyDescent="0.2">
      <c r="A28" s="1">
        <v>2</v>
      </c>
      <c r="B28" s="1" t="s">
        <v>6</v>
      </c>
      <c r="C28" s="1">
        <v>559901.25388400001</v>
      </c>
      <c r="D28" s="1">
        <v>443957.27131699998</v>
      </c>
      <c r="E28" s="2">
        <f t="shared" si="0"/>
        <v>1077.2640000000001</v>
      </c>
      <c r="F28" s="1" t="s">
        <v>39</v>
      </c>
      <c r="G28" s="1" t="s">
        <v>78</v>
      </c>
      <c r="H28" s="1">
        <v>12.3</v>
      </c>
    </row>
    <row r="29" spans="1:8" x14ac:dyDescent="0.2">
      <c r="A29" s="1">
        <v>2</v>
      </c>
      <c r="B29" s="1" t="s">
        <v>6</v>
      </c>
      <c r="C29" s="1">
        <v>559901.25388400001</v>
      </c>
      <c r="D29" s="1">
        <v>443957.27131699998</v>
      </c>
      <c r="E29" s="2">
        <f t="shared" si="0"/>
        <v>1076.664</v>
      </c>
      <c r="F29" s="1" t="s">
        <v>36</v>
      </c>
      <c r="G29" s="1" t="s">
        <v>78</v>
      </c>
      <c r="H29" s="1">
        <v>12.9</v>
      </c>
    </row>
    <row r="30" spans="1:8" x14ac:dyDescent="0.2">
      <c r="A30" s="1">
        <v>2</v>
      </c>
      <c r="B30" s="1" t="s">
        <v>6</v>
      </c>
      <c r="C30" s="1">
        <v>559901.25388400001</v>
      </c>
      <c r="D30" s="1">
        <v>443957.27131699998</v>
      </c>
      <c r="E30" s="2">
        <f t="shared" si="0"/>
        <v>1076.364</v>
      </c>
      <c r="F30" s="1" t="s">
        <v>40</v>
      </c>
      <c r="G30" s="1" t="s">
        <v>78</v>
      </c>
      <c r="H30" s="1">
        <v>13.2</v>
      </c>
    </row>
    <row r="31" spans="1:8" x14ac:dyDescent="0.2">
      <c r="A31" s="1">
        <v>2</v>
      </c>
      <c r="B31" s="1" t="s">
        <v>6</v>
      </c>
      <c r="C31" s="1">
        <v>559901.25388400001</v>
      </c>
      <c r="D31" s="1">
        <v>443957.27131699998</v>
      </c>
      <c r="E31" s="2">
        <f t="shared" si="0"/>
        <v>1076.164</v>
      </c>
      <c r="F31" s="1" t="s">
        <v>36</v>
      </c>
      <c r="G31" s="1" t="s">
        <v>78</v>
      </c>
      <c r="H31" s="1">
        <v>13.4</v>
      </c>
    </row>
    <row r="32" spans="1:8" x14ac:dyDescent="0.2">
      <c r="A32" s="1">
        <v>2</v>
      </c>
      <c r="B32" s="1" t="s">
        <v>6</v>
      </c>
      <c r="C32" s="1">
        <v>559901.25388400001</v>
      </c>
      <c r="D32" s="1">
        <v>443957.27131699998</v>
      </c>
      <c r="E32" s="2">
        <f t="shared" si="0"/>
        <v>1075.664</v>
      </c>
      <c r="F32" s="1" t="s">
        <v>40</v>
      </c>
      <c r="G32" s="1" t="s">
        <v>78</v>
      </c>
      <c r="H32" s="1">
        <v>13.9</v>
      </c>
    </row>
    <row r="33" spans="1:8" x14ac:dyDescent="0.2">
      <c r="A33" s="1">
        <v>2</v>
      </c>
      <c r="B33" s="1" t="s">
        <v>6</v>
      </c>
      <c r="C33" s="1">
        <v>559901.25388400001</v>
      </c>
      <c r="D33" s="1">
        <v>443957.27131699998</v>
      </c>
      <c r="E33" s="2">
        <f t="shared" si="0"/>
        <v>1075.5640000000001</v>
      </c>
      <c r="F33" s="1" t="s">
        <v>36</v>
      </c>
      <c r="G33" s="1" t="s">
        <v>78</v>
      </c>
      <c r="H33" s="1">
        <v>14</v>
      </c>
    </row>
    <row r="34" spans="1:8" x14ac:dyDescent="0.2">
      <c r="A34" s="1">
        <v>2</v>
      </c>
      <c r="B34" s="1" t="s">
        <v>6</v>
      </c>
      <c r="C34" s="1">
        <v>559901.25388400001</v>
      </c>
      <c r="D34" s="1">
        <v>443957.27131699998</v>
      </c>
      <c r="E34" s="2">
        <f t="shared" si="0"/>
        <v>1075.2640000000001</v>
      </c>
      <c r="F34" s="1" t="s">
        <v>18</v>
      </c>
      <c r="G34" s="1" t="s">
        <v>78</v>
      </c>
      <c r="H34" s="1">
        <v>14.3</v>
      </c>
    </row>
    <row r="35" spans="1:8" x14ac:dyDescent="0.2">
      <c r="A35" s="1">
        <v>2</v>
      </c>
      <c r="B35" s="1" t="s">
        <v>6</v>
      </c>
      <c r="C35" s="1">
        <v>559901.25388400001</v>
      </c>
      <c r="D35" s="1">
        <v>443957.27131699998</v>
      </c>
      <c r="E35" s="2">
        <f t="shared" si="0"/>
        <v>1074.5640000000001</v>
      </c>
      <c r="F35" s="1" t="s">
        <v>41</v>
      </c>
      <c r="G35" s="1" t="s">
        <v>132</v>
      </c>
      <c r="H35" s="1">
        <v>15</v>
      </c>
    </row>
    <row r="36" spans="1:8" x14ac:dyDescent="0.2">
      <c r="A36" s="1">
        <v>2</v>
      </c>
      <c r="B36" s="1" t="s">
        <v>6</v>
      </c>
      <c r="C36" s="1">
        <v>559901.25388400001</v>
      </c>
      <c r="D36" s="1">
        <v>443957.27131699998</v>
      </c>
      <c r="E36" s="2">
        <f t="shared" ref="E36:E67" si="1">$E$2-H36</f>
        <v>1074.0440000000001</v>
      </c>
      <c r="F36" s="1" t="s">
        <v>287</v>
      </c>
      <c r="G36" s="1" t="s">
        <v>132</v>
      </c>
      <c r="H36" s="1">
        <v>15.52</v>
      </c>
    </row>
    <row r="37" spans="1:8" x14ac:dyDescent="0.2">
      <c r="A37" s="1">
        <v>2</v>
      </c>
      <c r="B37" s="1" t="s">
        <v>6</v>
      </c>
      <c r="C37" s="1">
        <v>559901.25388400001</v>
      </c>
      <c r="D37" s="1">
        <v>443957.27131699998</v>
      </c>
      <c r="E37" s="2">
        <f t="shared" si="1"/>
        <v>1074.0040000000001</v>
      </c>
      <c r="F37" s="1" t="s">
        <v>41</v>
      </c>
      <c r="G37" s="1" t="s">
        <v>136</v>
      </c>
      <c r="H37" s="1">
        <v>15.56</v>
      </c>
    </row>
    <row r="38" spans="1:8" x14ac:dyDescent="0.2">
      <c r="A38" s="1">
        <v>2</v>
      </c>
      <c r="B38" s="1" t="s">
        <v>6</v>
      </c>
      <c r="C38" s="1">
        <v>559901.25388400001</v>
      </c>
      <c r="D38" s="1">
        <v>443957.27131699998</v>
      </c>
      <c r="E38" s="2">
        <f t="shared" si="1"/>
        <v>1073.364</v>
      </c>
      <c r="F38" s="1" t="s">
        <v>18</v>
      </c>
      <c r="G38" s="1" t="s">
        <v>78</v>
      </c>
      <c r="H38" s="1">
        <v>16.2</v>
      </c>
    </row>
    <row r="39" spans="1:8" x14ac:dyDescent="0.2">
      <c r="A39" s="1">
        <v>2</v>
      </c>
      <c r="B39" s="1" t="s">
        <v>6</v>
      </c>
      <c r="C39" s="1">
        <v>559901.25388400001</v>
      </c>
      <c r="D39" s="1">
        <v>443957.27131699998</v>
      </c>
      <c r="E39" s="2">
        <f t="shared" si="1"/>
        <v>1072.9640000000002</v>
      </c>
      <c r="F39" s="1" t="s">
        <v>41</v>
      </c>
      <c r="G39" s="1" t="s">
        <v>132</v>
      </c>
      <c r="H39" s="1">
        <v>16.600000000000001</v>
      </c>
    </row>
    <row r="40" spans="1:8" x14ac:dyDescent="0.2">
      <c r="A40" s="1">
        <v>2</v>
      </c>
      <c r="B40" s="1" t="s">
        <v>6</v>
      </c>
      <c r="C40" s="1">
        <v>559901.25388400001</v>
      </c>
      <c r="D40" s="1">
        <v>443957.27131699998</v>
      </c>
      <c r="E40" s="2">
        <f t="shared" si="1"/>
        <v>1072.5640000000001</v>
      </c>
      <c r="F40" s="1" t="s">
        <v>145</v>
      </c>
      <c r="G40" s="1" t="s">
        <v>78</v>
      </c>
      <c r="H40" s="1">
        <v>17</v>
      </c>
    </row>
    <row r="41" spans="1:8" x14ac:dyDescent="0.2">
      <c r="A41" s="1">
        <v>2</v>
      </c>
      <c r="B41" s="1" t="s">
        <v>6</v>
      </c>
      <c r="C41" s="1">
        <v>559901.25388400001</v>
      </c>
      <c r="D41" s="1">
        <v>443957.27131699998</v>
      </c>
      <c r="E41" s="2">
        <f t="shared" si="1"/>
        <v>1072.4640000000002</v>
      </c>
      <c r="F41" s="1" t="s">
        <v>41</v>
      </c>
      <c r="G41" s="1" t="s">
        <v>132</v>
      </c>
      <c r="H41" s="1">
        <v>17.100000000000001</v>
      </c>
    </row>
    <row r="42" spans="1:8" x14ac:dyDescent="0.2">
      <c r="A42" s="1">
        <v>2</v>
      </c>
      <c r="B42" s="1" t="s">
        <v>6</v>
      </c>
      <c r="C42" s="1">
        <v>559901.25388400001</v>
      </c>
      <c r="D42" s="1">
        <v>443957.27131699998</v>
      </c>
      <c r="E42" s="2">
        <f t="shared" si="1"/>
        <v>1072.164</v>
      </c>
      <c r="F42" s="1" t="s">
        <v>145</v>
      </c>
      <c r="G42" s="1" t="s">
        <v>78</v>
      </c>
      <c r="H42" s="1">
        <v>17.399999999999999</v>
      </c>
    </row>
    <row r="43" spans="1:8" x14ac:dyDescent="0.2">
      <c r="A43" s="1">
        <v>2</v>
      </c>
      <c r="B43" s="1" t="s">
        <v>6</v>
      </c>
      <c r="C43" s="1">
        <v>559901.25388400001</v>
      </c>
      <c r="D43" s="1">
        <v>443957.27131699998</v>
      </c>
      <c r="E43" s="2">
        <f t="shared" si="1"/>
        <v>1071.7640000000001</v>
      </c>
      <c r="F43" s="1" t="s">
        <v>41</v>
      </c>
      <c r="G43" s="1" t="s">
        <v>132</v>
      </c>
      <c r="H43" s="1">
        <v>17.8</v>
      </c>
    </row>
    <row r="44" spans="1:8" x14ac:dyDescent="0.2">
      <c r="A44" s="1">
        <v>2</v>
      </c>
      <c r="B44" s="1" t="s">
        <v>6</v>
      </c>
      <c r="C44" s="1">
        <v>559901.25388400001</v>
      </c>
      <c r="D44" s="1">
        <v>443957.27131699998</v>
      </c>
      <c r="E44" s="2">
        <f t="shared" si="1"/>
        <v>1071.404</v>
      </c>
      <c r="F44" s="1" t="s">
        <v>145</v>
      </c>
      <c r="G44" s="1" t="s">
        <v>78</v>
      </c>
      <c r="H44" s="1">
        <v>18.16</v>
      </c>
    </row>
    <row r="45" spans="1:8" x14ac:dyDescent="0.2">
      <c r="A45" s="1">
        <v>2</v>
      </c>
      <c r="B45" s="1" t="s">
        <v>6</v>
      </c>
      <c r="C45" s="1">
        <v>559901.25388400001</v>
      </c>
      <c r="D45" s="1">
        <v>443957.27131699998</v>
      </c>
      <c r="E45" s="2">
        <f t="shared" si="1"/>
        <v>1071.3240000000001</v>
      </c>
      <c r="F45" s="1" t="s">
        <v>41</v>
      </c>
      <c r="G45" s="1" t="s">
        <v>132</v>
      </c>
      <c r="H45" s="1">
        <v>18.239999999999998</v>
      </c>
    </row>
    <row r="46" spans="1:8" x14ac:dyDescent="0.2">
      <c r="A46" s="1">
        <v>2</v>
      </c>
      <c r="B46" s="1" t="s">
        <v>6</v>
      </c>
      <c r="C46" s="1">
        <v>559901.25388400001</v>
      </c>
      <c r="D46" s="1">
        <v>443957.27131699998</v>
      </c>
      <c r="E46" s="2">
        <f t="shared" si="1"/>
        <v>1070.9640000000002</v>
      </c>
      <c r="F46" s="1" t="s">
        <v>145</v>
      </c>
      <c r="G46" s="1" t="s">
        <v>78</v>
      </c>
      <c r="H46" s="1">
        <v>18.600000000000001</v>
      </c>
    </row>
    <row r="47" spans="1:8" x14ac:dyDescent="0.2">
      <c r="A47" s="1">
        <v>2</v>
      </c>
      <c r="B47" s="1" t="s">
        <v>6</v>
      </c>
      <c r="C47" s="1">
        <v>559901.25388400001</v>
      </c>
      <c r="D47" s="1">
        <v>443957.27131699998</v>
      </c>
      <c r="E47" s="2">
        <f t="shared" si="1"/>
        <v>1070.884</v>
      </c>
      <c r="F47" s="1" t="s">
        <v>41</v>
      </c>
      <c r="G47" s="1" t="s">
        <v>132</v>
      </c>
      <c r="H47" s="1">
        <v>18.68</v>
      </c>
    </row>
    <row r="48" spans="1:8" x14ac:dyDescent="0.2">
      <c r="A48" s="1">
        <v>2</v>
      </c>
      <c r="B48" s="1" t="s">
        <v>6</v>
      </c>
      <c r="C48" s="1">
        <v>559901.25388400001</v>
      </c>
      <c r="D48" s="1">
        <v>443957.27131699998</v>
      </c>
      <c r="E48" s="2">
        <f t="shared" si="1"/>
        <v>1070.4640000000002</v>
      </c>
      <c r="F48" s="1" t="s">
        <v>145</v>
      </c>
      <c r="G48" s="1" t="s">
        <v>78</v>
      </c>
      <c r="H48" s="1">
        <v>19.100000000000001</v>
      </c>
    </row>
    <row r="49" spans="1:8" x14ac:dyDescent="0.2">
      <c r="A49" s="1">
        <v>2</v>
      </c>
      <c r="B49" s="1" t="s">
        <v>6</v>
      </c>
      <c r="C49" s="1">
        <v>559901.25388400001</v>
      </c>
      <c r="D49" s="1">
        <v>443957.27131699998</v>
      </c>
      <c r="E49" s="2">
        <f t="shared" si="1"/>
        <v>1070.2640000000001</v>
      </c>
      <c r="F49" s="1" t="s">
        <v>41</v>
      </c>
      <c r="G49" s="1" t="s">
        <v>132</v>
      </c>
      <c r="H49" s="1">
        <v>19.3</v>
      </c>
    </row>
    <row r="50" spans="1:8" x14ac:dyDescent="0.2">
      <c r="A50" s="1">
        <v>2</v>
      </c>
      <c r="B50" s="1" t="s">
        <v>6</v>
      </c>
      <c r="C50" s="1">
        <v>559901.25388400001</v>
      </c>
      <c r="D50" s="1">
        <v>443957.27131699998</v>
      </c>
      <c r="E50" s="2">
        <f t="shared" si="1"/>
        <v>1069.5640000000001</v>
      </c>
      <c r="F50" s="1" t="s">
        <v>41</v>
      </c>
      <c r="G50" s="1" t="s">
        <v>132</v>
      </c>
      <c r="H50" s="1">
        <v>20</v>
      </c>
    </row>
    <row r="51" spans="1:8" x14ac:dyDescent="0.2">
      <c r="A51" s="1">
        <v>2</v>
      </c>
      <c r="B51" s="1" t="s">
        <v>6</v>
      </c>
      <c r="C51" s="1">
        <v>559901.25388400001</v>
      </c>
      <c r="D51" s="1">
        <v>443957.27131699998</v>
      </c>
      <c r="E51" s="2">
        <f t="shared" si="1"/>
        <v>1069.0240000000001</v>
      </c>
      <c r="F51" s="1" t="s">
        <v>145</v>
      </c>
      <c r="G51" s="1" t="s">
        <v>78</v>
      </c>
      <c r="H51" s="1">
        <v>20.54</v>
      </c>
    </row>
    <row r="52" spans="1:8" x14ac:dyDescent="0.2">
      <c r="A52" s="1">
        <v>2</v>
      </c>
      <c r="B52" s="1" t="s">
        <v>6</v>
      </c>
      <c r="C52" s="1">
        <v>559901.25388400001</v>
      </c>
      <c r="D52" s="1">
        <v>443957.27131699998</v>
      </c>
      <c r="E52" s="2">
        <f t="shared" si="1"/>
        <v>1068.9440000000002</v>
      </c>
      <c r="F52" s="1" t="s">
        <v>41</v>
      </c>
      <c r="G52" s="1" t="s">
        <v>132</v>
      </c>
      <c r="H52" s="1">
        <v>20.62</v>
      </c>
    </row>
    <row r="53" spans="1:8" x14ac:dyDescent="0.2">
      <c r="A53" s="1">
        <v>2</v>
      </c>
      <c r="B53" s="1" t="s">
        <v>6</v>
      </c>
      <c r="C53" s="1">
        <v>559901.25388400001</v>
      </c>
      <c r="D53" s="1">
        <v>443957.27131699998</v>
      </c>
      <c r="E53" s="2">
        <f t="shared" si="1"/>
        <v>1068.7140000000002</v>
      </c>
      <c r="F53" s="1" t="s">
        <v>143</v>
      </c>
      <c r="G53" s="1" t="s">
        <v>78</v>
      </c>
      <c r="H53" s="1">
        <v>20.85</v>
      </c>
    </row>
    <row r="54" spans="1:8" x14ac:dyDescent="0.2">
      <c r="A54" s="1">
        <v>2</v>
      </c>
      <c r="B54" s="1" t="s">
        <v>6</v>
      </c>
      <c r="C54" s="1">
        <v>559901.25388400001</v>
      </c>
      <c r="D54" s="1">
        <v>443957.27131699998</v>
      </c>
      <c r="E54" s="2">
        <f t="shared" si="1"/>
        <v>1068.624</v>
      </c>
      <c r="F54" s="1" t="s">
        <v>41</v>
      </c>
      <c r="G54" s="1" t="s">
        <v>132</v>
      </c>
      <c r="H54" s="1">
        <v>20.94</v>
      </c>
    </row>
    <row r="55" spans="1:8" x14ac:dyDescent="0.2">
      <c r="A55" s="1">
        <v>2</v>
      </c>
      <c r="B55" s="1" t="s">
        <v>6</v>
      </c>
      <c r="C55" s="1">
        <v>559901.25388400001</v>
      </c>
      <c r="D55" s="1">
        <v>443957.27131699998</v>
      </c>
      <c r="E55" s="2">
        <f t="shared" si="1"/>
        <v>1067.7640000000001</v>
      </c>
      <c r="F55" s="1" t="s">
        <v>145</v>
      </c>
      <c r="G55" s="1" t="s">
        <v>78</v>
      </c>
      <c r="H55" s="1">
        <v>21.8</v>
      </c>
    </row>
    <row r="56" spans="1:8" x14ac:dyDescent="0.2">
      <c r="A56" s="1">
        <v>2</v>
      </c>
      <c r="B56" s="1" t="s">
        <v>6</v>
      </c>
      <c r="C56" s="1">
        <v>559901.25388400001</v>
      </c>
      <c r="D56" s="1">
        <v>443957.27131699998</v>
      </c>
      <c r="E56" s="2">
        <f t="shared" si="1"/>
        <v>1067.664</v>
      </c>
      <c r="F56" s="1" t="s">
        <v>43</v>
      </c>
      <c r="G56" s="1" t="s">
        <v>132</v>
      </c>
      <c r="H56" s="1">
        <v>21.9</v>
      </c>
    </row>
    <row r="57" spans="1:8" x14ac:dyDescent="0.2">
      <c r="A57" s="1">
        <v>2</v>
      </c>
      <c r="B57" s="1" t="s">
        <v>6</v>
      </c>
      <c r="C57" s="1">
        <v>559901.25388400001</v>
      </c>
      <c r="D57" s="1">
        <v>443957.27131699998</v>
      </c>
      <c r="E57" s="2">
        <f t="shared" si="1"/>
        <v>1067.364</v>
      </c>
      <c r="F57" s="1" t="s">
        <v>145</v>
      </c>
      <c r="G57" s="1" t="s">
        <v>78</v>
      </c>
      <c r="H57" s="1">
        <v>22.2</v>
      </c>
    </row>
    <row r="58" spans="1:8" x14ac:dyDescent="0.2">
      <c r="A58" s="1">
        <v>2</v>
      </c>
      <c r="B58" s="1" t="s">
        <v>6</v>
      </c>
      <c r="C58" s="1">
        <v>559901.25388400001</v>
      </c>
      <c r="D58" s="1">
        <v>443957.27131699998</v>
      </c>
      <c r="E58" s="2">
        <f t="shared" si="1"/>
        <v>1067.2640000000001</v>
      </c>
      <c r="F58" s="1" t="s">
        <v>43</v>
      </c>
      <c r="G58" s="1" t="s">
        <v>132</v>
      </c>
      <c r="H58" s="1">
        <v>22.3</v>
      </c>
    </row>
    <row r="59" spans="1:8" x14ac:dyDescent="0.2">
      <c r="A59" s="1">
        <v>2</v>
      </c>
      <c r="B59" s="1" t="s">
        <v>6</v>
      </c>
      <c r="C59" s="1">
        <v>559901.25388400001</v>
      </c>
      <c r="D59" s="1">
        <v>443957.27131699998</v>
      </c>
      <c r="E59" s="2">
        <f t="shared" si="1"/>
        <v>1066.7640000000001</v>
      </c>
      <c r="F59" s="1" t="s">
        <v>288</v>
      </c>
      <c r="G59" s="1" t="s">
        <v>132</v>
      </c>
      <c r="H59" s="1">
        <v>22.8</v>
      </c>
    </row>
    <row r="60" spans="1:8" x14ac:dyDescent="0.2">
      <c r="A60" s="1">
        <v>2</v>
      </c>
      <c r="B60" s="1" t="s">
        <v>6</v>
      </c>
      <c r="C60" s="1">
        <v>559901.25388400001</v>
      </c>
      <c r="D60" s="1">
        <v>443957.27131699998</v>
      </c>
      <c r="E60" s="2">
        <f t="shared" si="1"/>
        <v>1066.5640000000001</v>
      </c>
      <c r="F60" s="1" t="s">
        <v>44</v>
      </c>
      <c r="G60" s="1" t="s">
        <v>132</v>
      </c>
      <c r="H60" s="1">
        <v>23</v>
      </c>
    </row>
    <row r="61" spans="1:8" x14ac:dyDescent="0.2">
      <c r="A61" s="1">
        <v>2</v>
      </c>
      <c r="B61" s="1" t="s">
        <v>6</v>
      </c>
      <c r="C61" s="1">
        <v>559901.25388400001</v>
      </c>
      <c r="D61" s="1">
        <v>443957.27131699998</v>
      </c>
      <c r="E61" s="2">
        <f t="shared" si="1"/>
        <v>1064.5640000000001</v>
      </c>
      <c r="F61" s="1" t="s">
        <v>45</v>
      </c>
      <c r="G61" s="1" t="s">
        <v>132</v>
      </c>
      <c r="H61" s="1">
        <v>25</v>
      </c>
    </row>
    <row r="62" spans="1:8" x14ac:dyDescent="0.2">
      <c r="A62" s="1">
        <v>2</v>
      </c>
      <c r="B62" s="1" t="s">
        <v>6</v>
      </c>
      <c r="C62" s="1">
        <v>559901.25388400001</v>
      </c>
      <c r="D62" s="1">
        <v>443957.27131699998</v>
      </c>
      <c r="E62" s="2">
        <f t="shared" si="1"/>
        <v>1063.4640000000002</v>
      </c>
      <c r="F62" s="1" t="s">
        <v>46</v>
      </c>
      <c r="G62" s="1" t="s">
        <v>132</v>
      </c>
      <c r="H62" s="1">
        <v>26.1</v>
      </c>
    </row>
    <row r="63" spans="1:8" x14ac:dyDescent="0.2">
      <c r="A63" s="1">
        <v>2</v>
      </c>
      <c r="B63" s="1" t="s">
        <v>6</v>
      </c>
      <c r="C63" s="1">
        <v>559901.25388400001</v>
      </c>
      <c r="D63" s="1">
        <v>443957.27131699998</v>
      </c>
      <c r="E63" s="2">
        <f t="shared" si="1"/>
        <v>1061.9640000000002</v>
      </c>
      <c r="F63" s="1" t="s">
        <v>46</v>
      </c>
      <c r="G63" s="1" t="s">
        <v>132</v>
      </c>
      <c r="H63" s="1">
        <v>27.6</v>
      </c>
    </row>
    <row r="64" spans="1:8" x14ac:dyDescent="0.2">
      <c r="A64" s="1">
        <v>2</v>
      </c>
      <c r="B64" s="1" t="s">
        <v>6</v>
      </c>
      <c r="C64" s="1">
        <v>559901.25388400001</v>
      </c>
      <c r="D64" s="1">
        <v>443957.27131699998</v>
      </c>
      <c r="E64" s="2">
        <f t="shared" si="1"/>
        <v>1061.664</v>
      </c>
      <c r="F64" s="1" t="s">
        <v>46</v>
      </c>
      <c r="G64" s="1" t="s">
        <v>132</v>
      </c>
      <c r="H64" s="1">
        <v>27.9</v>
      </c>
    </row>
    <row r="65" spans="1:8" x14ac:dyDescent="0.2">
      <c r="A65" s="1">
        <v>2</v>
      </c>
      <c r="B65" s="1" t="s">
        <v>6</v>
      </c>
      <c r="C65" s="1">
        <v>559901.25388400001</v>
      </c>
      <c r="D65" s="1">
        <v>443957.27131699998</v>
      </c>
      <c r="E65" s="2">
        <f t="shared" si="1"/>
        <v>1060.9940000000001</v>
      </c>
      <c r="F65" s="1" t="s">
        <v>47</v>
      </c>
      <c r="G65" s="1" t="s">
        <v>78</v>
      </c>
      <c r="H65" s="1">
        <v>28.57</v>
      </c>
    </row>
    <row r="66" spans="1:8" x14ac:dyDescent="0.2">
      <c r="A66" s="1">
        <v>2</v>
      </c>
      <c r="B66" s="1" t="s">
        <v>6</v>
      </c>
      <c r="C66" s="1">
        <v>559901.25388400001</v>
      </c>
      <c r="D66" s="1">
        <v>443957.27131699998</v>
      </c>
      <c r="E66" s="2">
        <f t="shared" si="1"/>
        <v>1060.934</v>
      </c>
      <c r="F66" s="1" t="s">
        <v>46</v>
      </c>
      <c r="G66" s="1" t="s">
        <v>136</v>
      </c>
      <c r="H66" s="1">
        <v>28.63</v>
      </c>
    </row>
    <row r="67" spans="1:8" x14ac:dyDescent="0.2">
      <c r="A67" s="1">
        <v>2</v>
      </c>
      <c r="B67" s="1" t="s">
        <v>6</v>
      </c>
      <c r="C67" s="1">
        <v>559901.25388400001</v>
      </c>
      <c r="D67" s="1">
        <v>443957.27131699998</v>
      </c>
      <c r="E67" s="2">
        <f t="shared" si="1"/>
        <v>1059.5640000000001</v>
      </c>
      <c r="F67" s="1" t="s">
        <v>11</v>
      </c>
      <c r="G67" s="1" t="s">
        <v>132</v>
      </c>
      <c r="H67" s="1">
        <v>30</v>
      </c>
    </row>
    <row r="68" spans="1:8" x14ac:dyDescent="0.2">
      <c r="A68" s="1">
        <v>2</v>
      </c>
      <c r="B68" s="1" t="s">
        <v>6</v>
      </c>
      <c r="C68" s="1">
        <v>559901.25388400001</v>
      </c>
      <c r="D68" s="1">
        <v>443957.27131699998</v>
      </c>
      <c r="E68" s="2">
        <f t="shared" ref="E68:E99" si="2">$E$2-H68</f>
        <v>1058.864</v>
      </c>
      <c r="F68" s="1" t="s">
        <v>48</v>
      </c>
      <c r="G68" s="1" t="s">
        <v>132</v>
      </c>
      <c r="H68" s="1">
        <v>30.7</v>
      </c>
    </row>
    <row r="69" spans="1:8" x14ac:dyDescent="0.2">
      <c r="A69" s="1">
        <v>2</v>
      </c>
      <c r="B69" s="1" t="s">
        <v>6</v>
      </c>
      <c r="C69" s="1">
        <v>559901.25388400001</v>
      </c>
      <c r="D69" s="1">
        <v>443957.27131699998</v>
      </c>
      <c r="E69" s="2">
        <f t="shared" si="2"/>
        <v>1058.2640000000001</v>
      </c>
      <c r="F69" s="1" t="s">
        <v>11</v>
      </c>
      <c r="G69" s="1" t="s">
        <v>132</v>
      </c>
      <c r="H69" s="1">
        <v>31.3</v>
      </c>
    </row>
    <row r="70" spans="1:8" x14ac:dyDescent="0.2">
      <c r="A70" s="1">
        <v>2</v>
      </c>
      <c r="B70" s="1" t="s">
        <v>6</v>
      </c>
      <c r="C70" s="1">
        <v>559901.25388400001</v>
      </c>
      <c r="D70" s="1">
        <v>443957.27131699998</v>
      </c>
      <c r="E70" s="2">
        <f t="shared" si="2"/>
        <v>1057.5640000000001</v>
      </c>
      <c r="F70" s="1" t="s">
        <v>23</v>
      </c>
      <c r="G70" s="1" t="s">
        <v>78</v>
      </c>
      <c r="H70" s="1">
        <v>32</v>
      </c>
    </row>
    <row r="71" spans="1:8" x14ac:dyDescent="0.2">
      <c r="A71" s="1">
        <v>2</v>
      </c>
      <c r="B71" s="1" t="s">
        <v>6</v>
      </c>
      <c r="C71" s="1">
        <v>559901.25388400001</v>
      </c>
      <c r="D71" s="1">
        <v>443957.27131699998</v>
      </c>
      <c r="E71" s="2">
        <f t="shared" si="2"/>
        <v>1055.9640000000002</v>
      </c>
      <c r="F71" s="1" t="s">
        <v>49</v>
      </c>
      <c r="G71" s="1" t="s">
        <v>132</v>
      </c>
      <c r="H71" s="1">
        <v>33.6</v>
      </c>
    </row>
    <row r="72" spans="1:8" x14ac:dyDescent="0.2">
      <c r="A72" s="1">
        <v>2</v>
      </c>
      <c r="B72" s="1" t="s">
        <v>6</v>
      </c>
      <c r="C72" s="1">
        <v>559901.25388400001</v>
      </c>
      <c r="D72" s="1">
        <v>443957.27131699998</v>
      </c>
      <c r="E72" s="2">
        <f t="shared" si="2"/>
        <v>1055.2640000000001</v>
      </c>
      <c r="F72" s="1" t="s">
        <v>23</v>
      </c>
      <c r="G72" s="1" t="s">
        <v>78</v>
      </c>
      <c r="H72" s="1">
        <v>34.299999999999997</v>
      </c>
    </row>
    <row r="73" spans="1:8" x14ac:dyDescent="0.2">
      <c r="A73" s="1">
        <v>2</v>
      </c>
      <c r="B73" s="1" t="s">
        <v>6</v>
      </c>
      <c r="C73" s="1">
        <v>559901.25388400001</v>
      </c>
      <c r="D73" s="1">
        <v>443957.27131699998</v>
      </c>
      <c r="E73" s="2">
        <f t="shared" si="2"/>
        <v>1054.5640000000001</v>
      </c>
      <c r="F73" s="1" t="s">
        <v>50</v>
      </c>
      <c r="G73" s="1" t="s">
        <v>132</v>
      </c>
      <c r="H73" s="1">
        <v>35</v>
      </c>
    </row>
    <row r="74" spans="1:8" x14ac:dyDescent="0.2">
      <c r="A74" s="1">
        <v>2</v>
      </c>
      <c r="B74" s="1" t="s">
        <v>6</v>
      </c>
      <c r="C74" s="1">
        <v>559901.25388400001</v>
      </c>
      <c r="D74" s="1">
        <v>443957.27131699998</v>
      </c>
      <c r="E74" s="2">
        <f t="shared" si="2"/>
        <v>1053.2640000000001</v>
      </c>
      <c r="F74" s="1" t="s">
        <v>18</v>
      </c>
      <c r="G74" s="1" t="s">
        <v>78</v>
      </c>
      <c r="H74" s="1">
        <v>36.299999999999997</v>
      </c>
    </row>
    <row r="75" spans="1:8" x14ac:dyDescent="0.2">
      <c r="A75" s="1">
        <v>2</v>
      </c>
      <c r="B75" s="1" t="s">
        <v>6</v>
      </c>
      <c r="C75" s="1">
        <v>559901.25388400001</v>
      </c>
      <c r="D75" s="1">
        <v>443957.27131699998</v>
      </c>
      <c r="E75" s="2">
        <f t="shared" si="2"/>
        <v>1052.4640000000002</v>
      </c>
      <c r="F75" s="1" t="s">
        <v>18</v>
      </c>
      <c r="G75" s="1" t="s">
        <v>78</v>
      </c>
      <c r="H75" s="1">
        <v>37.1</v>
      </c>
    </row>
    <row r="76" spans="1:8" x14ac:dyDescent="0.2">
      <c r="A76" s="1">
        <v>2</v>
      </c>
      <c r="B76" s="1" t="s">
        <v>6</v>
      </c>
      <c r="C76" s="1">
        <v>559901.25388400001</v>
      </c>
      <c r="D76" s="1">
        <v>443957.27131699998</v>
      </c>
      <c r="E76" s="2">
        <f t="shared" si="2"/>
        <v>1051.864</v>
      </c>
      <c r="F76" s="1" t="s">
        <v>18</v>
      </c>
      <c r="G76" s="1" t="s">
        <v>78</v>
      </c>
      <c r="H76" s="1">
        <v>37.700000000000003</v>
      </c>
    </row>
    <row r="77" spans="1:8" x14ac:dyDescent="0.2">
      <c r="A77" s="1">
        <v>2</v>
      </c>
      <c r="B77" s="1" t="s">
        <v>6</v>
      </c>
      <c r="C77" s="1">
        <v>559901.25388400001</v>
      </c>
      <c r="D77" s="1">
        <v>443957.27131699998</v>
      </c>
      <c r="E77" s="2">
        <f t="shared" si="2"/>
        <v>1051.2640000000001</v>
      </c>
      <c r="F77" s="1" t="s">
        <v>50</v>
      </c>
      <c r="G77" s="1" t="s">
        <v>132</v>
      </c>
      <c r="H77" s="1">
        <v>38.299999999999997</v>
      </c>
    </row>
    <row r="78" spans="1:8" x14ac:dyDescent="0.2">
      <c r="A78" s="1">
        <v>2</v>
      </c>
      <c r="B78" s="1" t="s">
        <v>6</v>
      </c>
      <c r="C78" s="1">
        <v>559901.25388400001</v>
      </c>
      <c r="D78" s="1">
        <v>443957.27131699998</v>
      </c>
      <c r="E78" s="2">
        <f t="shared" si="2"/>
        <v>1050.0640000000001</v>
      </c>
      <c r="F78" s="1" t="s">
        <v>18</v>
      </c>
      <c r="G78" s="1" t="s">
        <v>78</v>
      </c>
      <c r="H78" s="1">
        <v>39.5</v>
      </c>
    </row>
    <row r="79" spans="1:8" x14ac:dyDescent="0.2">
      <c r="A79" s="1">
        <v>2</v>
      </c>
      <c r="B79" s="1" t="s">
        <v>6</v>
      </c>
      <c r="C79" s="1">
        <v>559901.25388400001</v>
      </c>
      <c r="D79" s="1">
        <v>443957.27131699998</v>
      </c>
      <c r="E79" s="2">
        <f t="shared" si="2"/>
        <v>1049.5640000000001</v>
      </c>
      <c r="F79" s="1" t="s">
        <v>51</v>
      </c>
      <c r="G79" s="1" t="s">
        <v>78</v>
      </c>
      <c r="H79" s="1">
        <v>40</v>
      </c>
    </row>
    <row r="80" spans="1:8" x14ac:dyDescent="0.2">
      <c r="A80" s="1">
        <v>2</v>
      </c>
      <c r="B80" s="1" t="s">
        <v>6</v>
      </c>
      <c r="C80" s="1">
        <v>559901.25388400001</v>
      </c>
      <c r="D80" s="1">
        <v>443957.27131699998</v>
      </c>
      <c r="E80" s="2">
        <f t="shared" si="2"/>
        <v>1048.0640000000001</v>
      </c>
      <c r="F80" s="1" t="s">
        <v>52</v>
      </c>
      <c r="G80" s="1" t="s">
        <v>78</v>
      </c>
      <c r="H80" s="1">
        <v>41.5</v>
      </c>
    </row>
    <row r="81" spans="1:8" x14ac:dyDescent="0.2">
      <c r="A81" s="1">
        <v>2</v>
      </c>
      <c r="B81" s="1" t="s">
        <v>6</v>
      </c>
      <c r="C81" s="1">
        <v>559901.25388400001</v>
      </c>
      <c r="D81" s="1">
        <v>443957.27131699998</v>
      </c>
      <c r="E81" s="2">
        <f t="shared" si="2"/>
        <v>1046.9640000000002</v>
      </c>
      <c r="F81" s="1" t="s">
        <v>18</v>
      </c>
      <c r="G81" s="1" t="s">
        <v>78</v>
      </c>
      <c r="H81" s="1">
        <v>42.6</v>
      </c>
    </row>
    <row r="82" spans="1:8" x14ac:dyDescent="0.2">
      <c r="A82" s="1">
        <v>2</v>
      </c>
      <c r="B82" s="1" t="s">
        <v>6</v>
      </c>
      <c r="C82" s="1">
        <v>559901.25388400001</v>
      </c>
      <c r="D82" s="1">
        <v>443957.27131699998</v>
      </c>
      <c r="E82" s="2">
        <f t="shared" si="2"/>
        <v>1045.0640000000001</v>
      </c>
      <c r="F82" s="1" t="s">
        <v>53</v>
      </c>
      <c r="G82" s="1" t="s">
        <v>135</v>
      </c>
      <c r="H82" s="1">
        <v>44.5</v>
      </c>
    </row>
    <row r="83" spans="1:8" x14ac:dyDescent="0.2">
      <c r="A83" s="1">
        <v>2</v>
      </c>
      <c r="B83" s="1" t="s">
        <v>6</v>
      </c>
      <c r="C83" s="1">
        <v>559901.25388400001</v>
      </c>
      <c r="D83" s="1">
        <v>443957.27131699998</v>
      </c>
      <c r="E83" s="2">
        <f t="shared" si="2"/>
        <v>1044.5640000000001</v>
      </c>
      <c r="F83" s="1" t="s">
        <v>54</v>
      </c>
      <c r="G83" s="1" t="s">
        <v>78</v>
      </c>
      <c r="H83" s="1">
        <v>45</v>
      </c>
    </row>
    <row r="84" spans="1:8" x14ac:dyDescent="0.2">
      <c r="A84" s="1">
        <v>2</v>
      </c>
      <c r="B84" s="1" t="s">
        <v>6</v>
      </c>
      <c r="C84" s="1">
        <v>559901.25388400001</v>
      </c>
      <c r="D84" s="1">
        <v>443957.27131699998</v>
      </c>
      <c r="E84" s="2">
        <f t="shared" si="2"/>
        <v>1043.2640000000001</v>
      </c>
      <c r="F84" s="1" t="s">
        <v>12</v>
      </c>
      <c r="G84" s="1" t="s">
        <v>132</v>
      </c>
      <c r="H84" s="1">
        <v>46.3</v>
      </c>
    </row>
    <row r="85" spans="1:8" x14ac:dyDescent="0.2">
      <c r="A85" s="1">
        <v>2</v>
      </c>
      <c r="B85" s="1" t="s">
        <v>6</v>
      </c>
      <c r="C85" s="1">
        <v>559901.25388400001</v>
      </c>
      <c r="D85" s="1">
        <v>443957.27131699998</v>
      </c>
      <c r="E85" s="2">
        <f t="shared" si="2"/>
        <v>1042.864</v>
      </c>
      <c r="F85" s="1" t="s">
        <v>18</v>
      </c>
      <c r="G85" s="1" t="s">
        <v>78</v>
      </c>
      <c r="H85" s="1">
        <v>46.7</v>
      </c>
    </row>
    <row r="86" spans="1:8" x14ac:dyDescent="0.2">
      <c r="A86" s="1">
        <v>2</v>
      </c>
      <c r="B86" s="1" t="s">
        <v>6</v>
      </c>
      <c r="C86" s="1">
        <v>559901.25388400001</v>
      </c>
      <c r="D86" s="1">
        <v>443957.27131699998</v>
      </c>
      <c r="E86" s="2">
        <f t="shared" si="2"/>
        <v>1042.2640000000001</v>
      </c>
      <c r="F86" s="1" t="s">
        <v>49</v>
      </c>
      <c r="G86" s="1" t="s">
        <v>132</v>
      </c>
      <c r="H86" s="1">
        <v>47.3</v>
      </c>
    </row>
    <row r="87" spans="1:8" x14ac:dyDescent="0.2">
      <c r="A87" s="1">
        <v>2</v>
      </c>
      <c r="B87" s="1" t="s">
        <v>6</v>
      </c>
      <c r="C87" s="1">
        <v>559901.25388400001</v>
      </c>
      <c r="D87" s="1">
        <v>443957.27131699998</v>
      </c>
      <c r="E87" s="2">
        <f t="shared" si="2"/>
        <v>1041.9640000000002</v>
      </c>
      <c r="F87" s="1" t="s">
        <v>55</v>
      </c>
      <c r="G87" s="1" t="s">
        <v>132</v>
      </c>
      <c r="H87" s="1">
        <v>47.6</v>
      </c>
    </row>
    <row r="88" spans="1:8" x14ac:dyDescent="0.2">
      <c r="A88" s="1">
        <v>2</v>
      </c>
      <c r="B88" s="1" t="s">
        <v>6</v>
      </c>
      <c r="C88" s="1">
        <v>559901.25388400001</v>
      </c>
      <c r="D88" s="1">
        <v>443957.27131699998</v>
      </c>
      <c r="E88" s="2">
        <f t="shared" si="2"/>
        <v>1040.3140000000001</v>
      </c>
      <c r="F88" s="1" t="s">
        <v>56</v>
      </c>
      <c r="G88" s="1" t="s">
        <v>137</v>
      </c>
      <c r="H88" s="1">
        <v>49.25</v>
      </c>
    </row>
    <row r="89" spans="1:8" x14ac:dyDescent="0.2">
      <c r="A89" s="1">
        <v>2</v>
      </c>
      <c r="B89" s="1" t="s">
        <v>6</v>
      </c>
      <c r="C89" s="1">
        <v>559901.25388400001</v>
      </c>
      <c r="D89" s="1">
        <v>443957.27131699998</v>
      </c>
      <c r="E89" s="2">
        <f t="shared" si="2"/>
        <v>1040.0640000000001</v>
      </c>
      <c r="F89" s="1" t="s">
        <v>58</v>
      </c>
      <c r="G89" s="1" t="s">
        <v>137</v>
      </c>
      <c r="H89" s="1">
        <v>49.5</v>
      </c>
    </row>
    <row r="90" spans="1:8" x14ac:dyDescent="0.2">
      <c r="A90" s="1">
        <v>2</v>
      </c>
      <c r="B90" s="1" t="s">
        <v>6</v>
      </c>
      <c r="C90" s="1">
        <v>559901.25388400001</v>
      </c>
      <c r="D90" s="1">
        <v>443957.27131699998</v>
      </c>
      <c r="E90" s="2">
        <f t="shared" si="2"/>
        <v>1039.7640000000001</v>
      </c>
      <c r="F90" s="1" t="s">
        <v>57</v>
      </c>
      <c r="G90" s="1" t="s">
        <v>138</v>
      </c>
      <c r="H90" s="1">
        <v>49.8</v>
      </c>
    </row>
    <row r="91" spans="1:8" x14ac:dyDescent="0.2">
      <c r="A91" s="1">
        <v>2</v>
      </c>
      <c r="B91" s="1" t="s">
        <v>6</v>
      </c>
      <c r="C91" s="1">
        <v>559901.25388400001</v>
      </c>
      <c r="D91" s="1">
        <v>443957.27131699998</v>
      </c>
      <c r="E91" s="2">
        <f t="shared" si="2"/>
        <v>1039.5640000000001</v>
      </c>
      <c r="F91" s="1" t="s">
        <v>50</v>
      </c>
      <c r="G91" s="1" t="s">
        <v>132</v>
      </c>
      <c r="H91" s="1">
        <v>50</v>
      </c>
    </row>
    <row r="92" spans="1:8" x14ac:dyDescent="0.2">
      <c r="A92" s="1">
        <v>2</v>
      </c>
      <c r="B92" s="1" t="s">
        <v>6</v>
      </c>
      <c r="C92" s="1">
        <v>559901.25388400001</v>
      </c>
      <c r="D92" s="1">
        <v>443957.27131699998</v>
      </c>
      <c r="E92" s="2">
        <f t="shared" si="2"/>
        <v>1038.604</v>
      </c>
      <c r="F92" s="1" t="s">
        <v>59</v>
      </c>
      <c r="G92" s="1" t="s">
        <v>78</v>
      </c>
      <c r="H92" s="1">
        <v>50.96</v>
      </c>
    </row>
    <row r="93" spans="1:8" x14ac:dyDescent="0.2">
      <c r="A93" s="1">
        <v>2</v>
      </c>
      <c r="B93" s="1" t="s">
        <v>6</v>
      </c>
      <c r="C93" s="1">
        <v>559901.25388400001</v>
      </c>
      <c r="D93" s="1">
        <v>443957.27131699998</v>
      </c>
      <c r="E93" s="2">
        <f t="shared" si="2"/>
        <v>1038.5640000000001</v>
      </c>
      <c r="F93" s="1" t="s">
        <v>50</v>
      </c>
      <c r="G93" s="1" t="s">
        <v>132</v>
      </c>
      <c r="H93" s="1">
        <v>51</v>
      </c>
    </row>
    <row r="94" spans="1:8" x14ac:dyDescent="0.2">
      <c r="A94" s="1">
        <v>2</v>
      </c>
      <c r="B94" s="1" t="s">
        <v>6</v>
      </c>
      <c r="C94" s="1">
        <v>559901.25388400001</v>
      </c>
      <c r="D94" s="1">
        <v>443957.27131699998</v>
      </c>
      <c r="E94" s="2">
        <f t="shared" si="2"/>
        <v>1037.0640000000001</v>
      </c>
      <c r="F94" s="1" t="s">
        <v>60</v>
      </c>
      <c r="G94" s="1" t="s">
        <v>137</v>
      </c>
      <c r="H94" s="1">
        <v>52.5</v>
      </c>
    </row>
    <row r="95" spans="1:8" x14ac:dyDescent="0.2">
      <c r="A95" s="1">
        <v>2</v>
      </c>
      <c r="B95" s="1" t="s">
        <v>6</v>
      </c>
      <c r="C95" s="1">
        <v>559901.25388400001</v>
      </c>
      <c r="D95" s="1">
        <v>443957.27131699998</v>
      </c>
      <c r="E95" s="2">
        <f t="shared" si="2"/>
        <v>1036.9640000000002</v>
      </c>
      <c r="F95" s="1" t="s">
        <v>61</v>
      </c>
      <c r="G95" s="1" t="s">
        <v>136</v>
      </c>
      <c r="H95" s="1">
        <v>52.6</v>
      </c>
    </row>
    <row r="96" spans="1:8" x14ac:dyDescent="0.2">
      <c r="A96" s="1">
        <v>2</v>
      </c>
      <c r="B96" s="1" t="s">
        <v>6</v>
      </c>
      <c r="C96" s="1">
        <v>559901.25388400001</v>
      </c>
      <c r="D96" s="1">
        <v>443957.27131699998</v>
      </c>
      <c r="E96" s="2">
        <f t="shared" si="2"/>
        <v>1036.5640000000001</v>
      </c>
      <c r="F96" s="1" t="s">
        <v>42</v>
      </c>
      <c r="G96" s="1" t="s">
        <v>132</v>
      </c>
      <c r="H96" s="1">
        <v>53</v>
      </c>
    </row>
    <row r="97" spans="1:8" x14ac:dyDescent="0.2">
      <c r="A97" s="1">
        <v>2</v>
      </c>
      <c r="B97" s="1" t="s">
        <v>6</v>
      </c>
      <c r="C97" s="1">
        <v>559901.25388400001</v>
      </c>
      <c r="D97" s="1">
        <v>443957.27131699998</v>
      </c>
      <c r="E97" s="2">
        <f t="shared" si="2"/>
        <v>1035.664</v>
      </c>
      <c r="F97" s="1" t="s">
        <v>12</v>
      </c>
      <c r="G97" s="1" t="s">
        <v>132</v>
      </c>
      <c r="H97" s="1">
        <v>53.9</v>
      </c>
    </row>
    <row r="98" spans="1:8" x14ac:dyDescent="0.2">
      <c r="A98" s="1">
        <v>2</v>
      </c>
      <c r="B98" s="1" t="s">
        <v>6</v>
      </c>
      <c r="C98" s="1">
        <v>559901.25388400001</v>
      </c>
      <c r="D98" s="1">
        <v>443957.27131699998</v>
      </c>
      <c r="E98" s="2">
        <f t="shared" si="2"/>
        <v>1035.364</v>
      </c>
      <c r="F98" s="1" t="s">
        <v>62</v>
      </c>
      <c r="G98" s="1" t="s">
        <v>78</v>
      </c>
      <c r="H98" s="1">
        <v>54.2</v>
      </c>
    </row>
    <row r="99" spans="1:8" x14ac:dyDescent="0.2">
      <c r="A99" s="1">
        <v>2</v>
      </c>
      <c r="B99" s="1" t="s">
        <v>6</v>
      </c>
      <c r="C99" s="1">
        <v>559901.25388400001</v>
      </c>
      <c r="D99" s="1">
        <v>443957.27131699998</v>
      </c>
      <c r="E99" s="2">
        <f t="shared" si="2"/>
        <v>1034.864</v>
      </c>
      <c r="F99" s="1" t="s">
        <v>62</v>
      </c>
      <c r="G99" s="1" t="s">
        <v>78</v>
      </c>
      <c r="H99" s="1">
        <v>54.7</v>
      </c>
    </row>
    <row r="100" spans="1:8" x14ac:dyDescent="0.2">
      <c r="A100" s="1">
        <v>2</v>
      </c>
      <c r="B100" s="1" t="s">
        <v>6</v>
      </c>
      <c r="C100" s="1">
        <v>559901.25388400001</v>
      </c>
      <c r="D100" s="1">
        <v>443957.27131699998</v>
      </c>
      <c r="E100" s="2">
        <f t="shared" ref="E100:E110" si="3">$E$2-H100</f>
        <v>1034.5640000000001</v>
      </c>
      <c r="F100" s="1" t="s">
        <v>51</v>
      </c>
      <c r="G100" s="1" t="s">
        <v>78</v>
      </c>
      <c r="H100" s="1">
        <v>55</v>
      </c>
    </row>
    <row r="101" spans="1:8" x14ac:dyDescent="0.2">
      <c r="A101" s="1">
        <v>2</v>
      </c>
      <c r="B101" s="1" t="s">
        <v>6</v>
      </c>
      <c r="C101" s="1">
        <v>559901.25388400001</v>
      </c>
      <c r="D101" s="1">
        <v>443957.27131699998</v>
      </c>
      <c r="E101" s="2">
        <f t="shared" si="3"/>
        <v>1032.664</v>
      </c>
      <c r="F101" s="1" t="s">
        <v>63</v>
      </c>
      <c r="G101" s="1" t="s">
        <v>132</v>
      </c>
      <c r="H101" s="1">
        <v>56.9</v>
      </c>
    </row>
    <row r="102" spans="1:8" x14ac:dyDescent="0.2">
      <c r="A102" s="1">
        <v>2</v>
      </c>
      <c r="B102" s="1" t="s">
        <v>6</v>
      </c>
      <c r="C102" s="1">
        <v>559901.25388400001</v>
      </c>
      <c r="D102" s="1">
        <v>443957.27131699998</v>
      </c>
      <c r="E102" s="2">
        <f t="shared" si="3"/>
        <v>1031.5640000000001</v>
      </c>
      <c r="F102" s="1" t="s">
        <v>64</v>
      </c>
      <c r="G102" s="1" t="s">
        <v>132</v>
      </c>
      <c r="H102" s="1">
        <v>58</v>
      </c>
    </row>
    <row r="103" spans="1:8" x14ac:dyDescent="0.2">
      <c r="A103" s="1">
        <v>2</v>
      </c>
      <c r="B103" s="1" t="s">
        <v>6</v>
      </c>
      <c r="C103" s="1">
        <v>559901.25388400001</v>
      </c>
      <c r="D103" s="1">
        <v>443957.27131699998</v>
      </c>
      <c r="E103" s="2">
        <f t="shared" si="3"/>
        <v>1031.364</v>
      </c>
      <c r="F103" s="1" t="s">
        <v>11</v>
      </c>
      <c r="G103" s="1" t="s">
        <v>132</v>
      </c>
      <c r="H103" s="1">
        <v>58.2</v>
      </c>
    </row>
    <row r="104" spans="1:8" x14ac:dyDescent="0.2">
      <c r="A104" s="1">
        <v>2</v>
      </c>
      <c r="B104" s="1" t="s">
        <v>6</v>
      </c>
      <c r="C104" s="1">
        <v>559901.25388400001</v>
      </c>
      <c r="D104" s="1">
        <v>443957.27131699998</v>
      </c>
      <c r="E104" s="2">
        <f t="shared" si="3"/>
        <v>1030.664</v>
      </c>
      <c r="F104" s="1" t="s">
        <v>64</v>
      </c>
      <c r="G104" s="1" t="s">
        <v>132</v>
      </c>
      <c r="H104" s="1">
        <v>58.9</v>
      </c>
    </row>
    <row r="105" spans="1:8" x14ac:dyDescent="0.2">
      <c r="A105" s="1">
        <v>2</v>
      </c>
      <c r="B105" s="1" t="s">
        <v>6</v>
      </c>
      <c r="C105" s="1">
        <v>559901.25388400001</v>
      </c>
      <c r="D105" s="1">
        <v>443957.27131699998</v>
      </c>
      <c r="E105" s="2">
        <f t="shared" si="3"/>
        <v>1029.5640000000001</v>
      </c>
      <c r="F105" s="1" t="s">
        <v>65</v>
      </c>
      <c r="G105" s="1" t="s">
        <v>132</v>
      </c>
      <c r="H105" s="1">
        <v>60</v>
      </c>
    </row>
    <row r="106" spans="1:8" x14ac:dyDescent="0.2">
      <c r="A106" s="1">
        <v>2</v>
      </c>
      <c r="B106" s="1" t="s">
        <v>6</v>
      </c>
      <c r="C106" s="1">
        <v>559901.25388400001</v>
      </c>
      <c r="D106" s="1">
        <v>443957.27131699998</v>
      </c>
      <c r="E106" s="2">
        <f t="shared" si="3"/>
        <v>1026.7640000000001</v>
      </c>
      <c r="F106" s="1" t="s">
        <v>55</v>
      </c>
      <c r="G106" s="1" t="s">
        <v>132</v>
      </c>
      <c r="H106" s="1">
        <v>62.8</v>
      </c>
    </row>
    <row r="107" spans="1:8" x14ac:dyDescent="0.2">
      <c r="A107" s="1">
        <v>2</v>
      </c>
      <c r="B107" s="1" t="s">
        <v>6</v>
      </c>
      <c r="C107" s="1">
        <v>559901.25388400001</v>
      </c>
      <c r="D107" s="1">
        <v>443957.27131699998</v>
      </c>
      <c r="E107" s="2">
        <f t="shared" si="3"/>
        <v>1024.5640000000001</v>
      </c>
      <c r="F107" s="1" t="s">
        <v>65</v>
      </c>
      <c r="G107" s="1" t="s">
        <v>132</v>
      </c>
      <c r="H107" s="1">
        <v>65</v>
      </c>
    </row>
    <row r="108" spans="1:8" x14ac:dyDescent="0.2">
      <c r="A108" s="1">
        <v>2</v>
      </c>
      <c r="B108" s="1" t="s">
        <v>6</v>
      </c>
      <c r="C108" s="1">
        <v>559901.25388400001</v>
      </c>
      <c r="D108" s="1">
        <v>443957.27131699998</v>
      </c>
      <c r="E108" s="2">
        <f t="shared" si="3"/>
        <v>1023.1640000000001</v>
      </c>
      <c r="F108" s="1" t="s">
        <v>18</v>
      </c>
      <c r="G108" s="1" t="s">
        <v>78</v>
      </c>
      <c r="H108" s="1">
        <v>66.400000000000006</v>
      </c>
    </row>
    <row r="109" spans="1:8" x14ac:dyDescent="0.2">
      <c r="A109" s="1">
        <v>2</v>
      </c>
      <c r="B109" s="1" t="s">
        <v>6</v>
      </c>
      <c r="C109" s="1">
        <v>559901.25388400001</v>
      </c>
      <c r="D109" s="1">
        <v>443957.27131699998</v>
      </c>
      <c r="E109" s="2">
        <f t="shared" si="3"/>
        <v>1022.6640000000001</v>
      </c>
      <c r="F109" s="1" t="s">
        <v>25</v>
      </c>
      <c r="G109" s="1" t="s">
        <v>132</v>
      </c>
      <c r="H109" s="1">
        <v>66.900000000000006</v>
      </c>
    </row>
    <row r="110" spans="1:8" x14ac:dyDescent="0.2">
      <c r="A110" s="1">
        <v>2</v>
      </c>
      <c r="B110" s="1" t="s">
        <v>6</v>
      </c>
      <c r="C110" s="1">
        <v>559901.25388400001</v>
      </c>
      <c r="D110" s="1">
        <v>443957.27131699998</v>
      </c>
      <c r="E110" s="2">
        <f t="shared" si="3"/>
        <v>1022.2640000000001</v>
      </c>
      <c r="F110" s="1" t="s">
        <v>144</v>
      </c>
      <c r="G110" s="1" t="s">
        <v>132</v>
      </c>
      <c r="H110" s="1">
        <v>67.3</v>
      </c>
    </row>
    <row r="111" spans="1:8" x14ac:dyDescent="0.2">
      <c r="A111" s="1">
        <v>2</v>
      </c>
      <c r="B111" s="1" t="s">
        <v>6</v>
      </c>
      <c r="C111" s="1">
        <v>559901.25388400001</v>
      </c>
      <c r="D111" s="1">
        <v>443957.27131699998</v>
      </c>
      <c r="E111" s="2">
        <v>1020.56</v>
      </c>
      <c r="F111" s="1" t="s">
        <v>144</v>
      </c>
      <c r="G111" s="1" t="s">
        <v>132</v>
      </c>
      <c r="H111" s="1">
        <v>69</v>
      </c>
    </row>
  </sheetData>
  <phoneticPr fontId="8" type="noConversion"/>
  <printOptions gridLines="1"/>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view="pageBreakPreview" workbookViewId="0">
      <selection activeCell="A7" sqref="A7"/>
    </sheetView>
  </sheetViews>
  <sheetFormatPr baseColWidth="10" defaultColWidth="8.83203125" defaultRowHeight="15" x14ac:dyDescent="0.2"/>
  <cols>
    <col min="5" max="5" width="11.6640625" bestFit="1" customWidth="1"/>
    <col min="6" max="6" width="68.1640625" bestFit="1" customWidth="1"/>
    <col min="7" max="7" width="19.5" bestFit="1" customWidth="1"/>
    <col min="8" max="8" width="16.5" bestFit="1" customWidth="1"/>
  </cols>
  <sheetData>
    <row r="1" spans="1:14" s="1" customFormat="1" x14ac:dyDescent="0.2">
      <c r="A1" s="28" t="s">
        <v>296</v>
      </c>
      <c r="E1" s="2"/>
    </row>
    <row r="3" spans="1:14" x14ac:dyDescent="0.2">
      <c r="A3" s="1"/>
      <c r="B3" s="1"/>
      <c r="C3" s="1"/>
      <c r="D3" s="1" t="s">
        <v>128</v>
      </c>
      <c r="E3" s="16">
        <v>1093.4775168000001</v>
      </c>
      <c r="H3" s="17"/>
      <c r="I3" s="18"/>
      <c r="J3" s="18"/>
      <c r="K3" s="18"/>
      <c r="L3" s="19"/>
      <c r="M3" s="19"/>
      <c r="N3" s="20"/>
    </row>
    <row r="4" spans="1:14" x14ac:dyDescent="0.2">
      <c r="A4" s="13" t="s">
        <v>1</v>
      </c>
      <c r="B4" s="13" t="s">
        <v>0</v>
      </c>
      <c r="C4" s="13" t="s">
        <v>3</v>
      </c>
      <c r="D4" s="13" t="s">
        <v>4</v>
      </c>
      <c r="E4" s="14" t="s">
        <v>5</v>
      </c>
      <c r="F4" s="13" t="s">
        <v>196</v>
      </c>
      <c r="G4" s="13" t="s">
        <v>197</v>
      </c>
      <c r="H4" s="13" t="s">
        <v>10</v>
      </c>
    </row>
    <row r="5" spans="1:14" x14ac:dyDescent="0.2">
      <c r="A5" s="1">
        <v>3</v>
      </c>
      <c r="B5" s="21" t="s">
        <v>219</v>
      </c>
      <c r="C5" s="21">
        <v>560688.05033700005</v>
      </c>
      <c r="D5" s="21">
        <v>443728.23617300001</v>
      </c>
      <c r="E5" s="22">
        <f>E$3-H5</f>
        <v>1093.4775168000001</v>
      </c>
      <c r="F5" s="1" t="s">
        <v>151</v>
      </c>
      <c r="G5" s="1" t="s">
        <v>151</v>
      </c>
      <c r="H5" s="6">
        <v>0</v>
      </c>
    </row>
    <row r="6" spans="1:14" x14ac:dyDescent="0.2">
      <c r="A6" s="1">
        <v>3</v>
      </c>
      <c r="B6" s="21" t="s">
        <v>219</v>
      </c>
      <c r="C6" s="21">
        <v>560688.05033700005</v>
      </c>
      <c r="D6" s="21">
        <v>443728.23617300001</v>
      </c>
      <c r="E6" s="22">
        <f t="shared" ref="E6:E32" si="0">E$3-H6</f>
        <v>1091.0862124521741</v>
      </c>
      <c r="F6" s="1" t="s">
        <v>201</v>
      </c>
      <c r="G6" s="1" t="s">
        <v>138</v>
      </c>
      <c r="H6" s="6">
        <f>1.1/2.3*5</f>
        <v>2.3913043478260874</v>
      </c>
    </row>
    <row r="7" spans="1:14" x14ac:dyDescent="0.2">
      <c r="A7" s="1">
        <v>3</v>
      </c>
      <c r="B7" s="21" t="s">
        <v>219</v>
      </c>
      <c r="C7" s="21">
        <v>560688.05033700005</v>
      </c>
      <c r="D7" s="21">
        <v>443728.23617300001</v>
      </c>
      <c r="E7" s="22">
        <f t="shared" si="0"/>
        <v>1089.5644733217393</v>
      </c>
      <c r="F7" s="1" t="s">
        <v>202</v>
      </c>
      <c r="G7" s="1" t="s">
        <v>132</v>
      </c>
      <c r="H7" s="6">
        <f>1.8/2.3*5</f>
        <v>3.9130434782608696</v>
      </c>
    </row>
    <row r="8" spans="1:14" x14ac:dyDescent="0.2">
      <c r="A8" s="1">
        <v>3</v>
      </c>
      <c r="B8" s="21" t="s">
        <v>219</v>
      </c>
      <c r="C8" s="21">
        <v>560688.05033700005</v>
      </c>
      <c r="D8" s="21">
        <v>443728.23617300001</v>
      </c>
      <c r="E8" s="22">
        <f t="shared" si="0"/>
        <v>1088.4775168000001</v>
      </c>
      <c r="F8" s="1" t="s">
        <v>203</v>
      </c>
      <c r="G8" s="1" t="s">
        <v>136</v>
      </c>
      <c r="H8" s="6">
        <v>5</v>
      </c>
    </row>
    <row r="9" spans="1:14" x14ac:dyDescent="0.2">
      <c r="A9" s="1">
        <v>3</v>
      </c>
      <c r="B9" s="21" t="s">
        <v>219</v>
      </c>
      <c r="C9" s="21">
        <v>560688.05033700005</v>
      </c>
      <c r="D9" s="21">
        <v>443728.23617300001</v>
      </c>
      <c r="E9" s="22">
        <f t="shared" si="0"/>
        <v>1083.4775168000001</v>
      </c>
      <c r="F9" s="1" t="s">
        <v>204</v>
      </c>
      <c r="G9" s="1" t="s">
        <v>132</v>
      </c>
      <c r="H9" s="6">
        <v>10</v>
      </c>
    </row>
    <row r="10" spans="1:14" x14ac:dyDescent="0.2">
      <c r="A10" s="1">
        <v>3</v>
      </c>
      <c r="B10" s="21" t="s">
        <v>219</v>
      </c>
      <c r="C10" s="21">
        <v>560688.05033700005</v>
      </c>
      <c r="D10" s="21">
        <v>443728.23617300001</v>
      </c>
      <c r="E10" s="22">
        <f t="shared" si="0"/>
        <v>1079.445258735484</v>
      </c>
      <c r="F10" s="1" t="s">
        <v>205</v>
      </c>
      <c r="G10" s="1" t="s">
        <v>132</v>
      </c>
      <c r="H10" s="6">
        <f>2.5/3.1*5+10</f>
        <v>14.032258064516128</v>
      </c>
    </row>
    <row r="11" spans="1:14" x14ac:dyDescent="0.2">
      <c r="A11" s="1">
        <v>3</v>
      </c>
      <c r="B11" s="21" t="s">
        <v>219</v>
      </c>
      <c r="C11" s="21">
        <v>560688.05033700005</v>
      </c>
      <c r="D11" s="21">
        <v>443728.23617300001</v>
      </c>
      <c r="E11" s="22">
        <f t="shared" si="0"/>
        <v>1078.4775168000001</v>
      </c>
      <c r="F11" s="1" t="s">
        <v>206</v>
      </c>
      <c r="G11" s="1" t="s">
        <v>132</v>
      </c>
      <c r="H11" s="6">
        <v>15</v>
      </c>
    </row>
    <row r="12" spans="1:14" x14ac:dyDescent="0.2">
      <c r="A12" s="1">
        <v>3</v>
      </c>
      <c r="B12" s="21" t="s">
        <v>219</v>
      </c>
      <c r="C12" s="21">
        <v>560688.05033700005</v>
      </c>
      <c r="D12" s="21">
        <v>443728.23617300001</v>
      </c>
      <c r="E12" s="22">
        <f t="shared" si="0"/>
        <v>1076.4775168000001</v>
      </c>
      <c r="F12" s="1" t="s">
        <v>207</v>
      </c>
      <c r="G12" s="1" t="s">
        <v>132</v>
      </c>
      <c r="H12" s="6">
        <f>1/2.5*5+15</f>
        <v>17</v>
      </c>
    </row>
    <row r="13" spans="1:14" x14ac:dyDescent="0.2">
      <c r="A13" s="1">
        <v>3</v>
      </c>
      <c r="B13" s="21" t="s">
        <v>219</v>
      </c>
      <c r="C13" s="21">
        <v>560688.05033700005</v>
      </c>
      <c r="D13" s="21">
        <v>443728.23617300001</v>
      </c>
      <c r="E13" s="22">
        <f t="shared" si="0"/>
        <v>1073.4775168000001</v>
      </c>
      <c r="F13" s="1" t="s">
        <v>206</v>
      </c>
      <c r="G13" s="1" t="s">
        <v>132</v>
      </c>
      <c r="H13" s="6">
        <v>20</v>
      </c>
    </row>
    <row r="14" spans="1:14" x14ac:dyDescent="0.2">
      <c r="A14" s="1">
        <v>3</v>
      </c>
      <c r="B14" s="21" t="s">
        <v>219</v>
      </c>
      <c r="C14" s="21">
        <v>560688.05033700005</v>
      </c>
      <c r="D14" s="21">
        <v>443728.23617300001</v>
      </c>
      <c r="E14" s="22">
        <f t="shared" si="0"/>
        <v>1071.6354115368422</v>
      </c>
      <c r="F14" s="1" t="s">
        <v>208</v>
      </c>
      <c r="G14" s="1" t="s">
        <v>132</v>
      </c>
      <c r="H14" s="6">
        <f>20+0.7/3.8*10</f>
        <v>21.842105263157894</v>
      </c>
    </row>
    <row r="15" spans="1:14" x14ac:dyDescent="0.2">
      <c r="A15" s="1">
        <v>3</v>
      </c>
      <c r="B15" s="21" t="s">
        <v>219</v>
      </c>
      <c r="C15" s="21">
        <v>560688.05033700005</v>
      </c>
      <c r="D15" s="21">
        <v>443728.23617300001</v>
      </c>
      <c r="E15" s="22">
        <f t="shared" si="0"/>
        <v>1070.0564641684211</v>
      </c>
      <c r="F15" s="1" t="s">
        <v>209</v>
      </c>
      <c r="G15" s="1" t="s">
        <v>132</v>
      </c>
      <c r="H15" s="6">
        <f>20+1.3/3.8*10</f>
        <v>23.421052631578949</v>
      </c>
    </row>
    <row r="16" spans="1:14" x14ac:dyDescent="0.2">
      <c r="A16" s="1">
        <v>3</v>
      </c>
      <c r="B16" s="21" t="s">
        <v>219</v>
      </c>
      <c r="C16" s="21">
        <v>560688.05033700005</v>
      </c>
      <c r="D16" s="21">
        <v>443728.23617300001</v>
      </c>
      <c r="E16" s="22">
        <f t="shared" si="0"/>
        <v>1065.5827799578949</v>
      </c>
      <c r="F16" s="1" t="s">
        <v>103</v>
      </c>
      <c r="G16" s="1" t="s">
        <v>78</v>
      </c>
      <c r="H16" s="6">
        <f>20+3/3.8*10</f>
        <v>27.894736842105264</v>
      </c>
    </row>
    <row r="17" spans="1:8" x14ac:dyDescent="0.2">
      <c r="A17" s="1">
        <v>3</v>
      </c>
      <c r="B17" s="21" t="s">
        <v>219</v>
      </c>
      <c r="C17" s="21">
        <v>560688.05033700005</v>
      </c>
      <c r="D17" s="21">
        <v>443728.23617300001</v>
      </c>
      <c r="E17" s="22">
        <f t="shared" si="0"/>
        <v>1063.4775168000001</v>
      </c>
      <c r="F17" s="1" t="s">
        <v>20</v>
      </c>
      <c r="G17" s="1" t="s">
        <v>78</v>
      </c>
      <c r="H17" s="6">
        <v>30</v>
      </c>
    </row>
    <row r="18" spans="1:8" x14ac:dyDescent="0.2">
      <c r="A18" s="1">
        <v>3</v>
      </c>
      <c r="B18" s="21" t="s">
        <v>219</v>
      </c>
      <c r="C18" s="21">
        <v>560688.05033700005</v>
      </c>
      <c r="D18" s="21">
        <v>443728.23617300001</v>
      </c>
      <c r="E18" s="22">
        <f t="shared" si="0"/>
        <v>1061.8558951783784</v>
      </c>
      <c r="F18" s="1" t="s">
        <v>213</v>
      </c>
      <c r="G18" s="1" t="s">
        <v>132</v>
      </c>
      <c r="H18" s="6">
        <f>0.6/3.7*10+30</f>
        <v>31.621621621621621</v>
      </c>
    </row>
    <row r="19" spans="1:8" x14ac:dyDescent="0.2">
      <c r="A19" s="1">
        <v>3</v>
      </c>
      <c r="B19" s="21" t="s">
        <v>219</v>
      </c>
      <c r="C19" s="21">
        <v>560688.05033700005</v>
      </c>
      <c r="D19" s="21">
        <v>443728.23617300001</v>
      </c>
      <c r="E19" s="22">
        <f t="shared" si="0"/>
        <v>1059.9640032864866</v>
      </c>
      <c r="F19" s="1" t="s">
        <v>210</v>
      </c>
      <c r="G19" s="1" t="s">
        <v>78</v>
      </c>
      <c r="H19" s="6">
        <f>1.3/3.7*10+30</f>
        <v>33.513513513513516</v>
      </c>
    </row>
    <row r="20" spans="1:8" x14ac:dyDescent="0.2">
      <c r="A20" s="1">
        <v>3</v>
      </c>
      <c r="B20" s="21" t="s">
        <v>219</v>
      </c>
      <c r="C20" s="21">
        <v>560688.05033700005</v>
      </c>
      <c r="D20" s="21">
        <v>443728.23617300001</v>
      </c>
      <c r="E20" s="22">
        <f t="shared" si="0"/>
        <v>1057.8018411243245</v>
      </c>
      <c r="F20" s="1" t="s">
        <v>212</v>
      </c>
      <c r="G20" s="1" t="s">
        <v>132</v>
      </c>
      <c r="H20" s="6">
        <f>2.1/3.7*10+30</f>
        <v>35.675675675675677</v>
      </c>
    </row>
    <row r="21" spans="1:8" x14ac:dyDescent="0.2">
      <c r="A21" s="1">
        <v>3</v>
      </c>
      <c r="B21" s="21" t="s">
        <v>219</v>
      </c>
      <c r="C21" s="21">
        <v>560688.05033700005</v>
      </c>
      <c r="D21" s="21">
        <v>443728.23617300001</v>
      </c>
      <c r="E21" s="22">
        <f t="shared" si="0"/>
        <v>1054.8288681513513</v>
      </c>
      <c r="F21" s="1" t="s">
        <v>211</v>
      </c>
      <c r="G21" s="1" t="s">
        <v>132</v>
      </c>
      <c r="H21" s="6">
        <f>3.2/3.7*10+30</f>
        <v>38.648648648648646</v>
      </c>
    </row>
    <row r="22" spans="1:8" x14ac:dyDescent="0.2">
      <c r="A22" s="1">
        <v>3</v>
      </c>
      <c r="B22" s="21" t="s">
        <v>219</v>
      </c>
      <c r="C22" s="21">
        <v>560688.05033700005</v>
      </c>
      <c r="D22" s="21">
        <v>443728.23617300001</v>
      </c>
      <c r="E22" s="22">
        <f t="shared" si="0"/>
        <v>1053.4775168000001</v>
      </c>
      <c r="F22" s="1" t="s">
        <v>214</v>
      </c>
      <c r="G22" s="1" t="s">
        <v>132</v>
      </c>
      <c r="H22" s="6">
        <v>40</v>
      </c>
    </row>
    <row r="23" spans="1:8" x14ac:dyDescent="0.2">
      <c r="A23" s="1">
        <v>3</v>
      </c>
      <c r="B23" s="21" t="s">
        <v>219</v>
      </c>
      <c r="C23" s="21">
        <v>560688.05033700005</v>
      </c>
      <c r="D23" s="21">
        <v>443728.23617300001</v>
      </c>
      <c r="E23" s="22">
        <f t="shared" si="0"/>
        <v>1048.3162264774194</v>
      </c>
      <c r="F23" s="1" t="s">
        <v>215</v>
      </c>
      <c r="G23" s="1" t="s">
        <v>132</v>
      </c>
      <c r="H23" s="6">
        <f>40+1.6/3.1*10</f>
        <v>45.161290322580648</v>
      </c>
    </row>
    <row r="24" spans="1:8" x14ac:dyDescent="0.2">
      <c r="A24" s="1">
        <v>3</v>
      </c>
      <c r="B24" s="21" t="s">
        <v>219</v>
      </c>
      <c r="C24" s="21">
        <v>560688.05033700005</v>
      </c>
      <c r="D24" s="21">
        <v>443728.23617300001</v>
      </c>
      <c r="E24" s="22">
        <f t="shared" si="0"/>
        <v>1043.4775168000001</v>
      </c>
      <c r="F24" s="1" t="s">
        <v>216</v>
      </c>
      <c r="G24" s="1" t="s">
        <v>132</v>
      </c>
      <c r="H24" s="6">
        <v>50</v>
      </c>
    </row>
    <row r="25" spans="1:8" x14ac:dyDescent="0.2">
      <c r="A25" s="1">
        <v>3</v>
      </c>
      <c r="B25" s="21" t="s">
        <v>219</v>
      </c>
      <c r="C25" s="21">
        <v>560688.05033700005</v>
      </c>
      <c r="D25" s="21">
        <v>443728.23617300001</v>
      </c>
      <c r="E25" s="22">
        <f t="shared" si="0"/>
        <v>1033.4775168000001</v>
      </c>
      <c r="F25" s="1" t="s">
        <v>217</v>
      </c>
      <c r="G25" s="1" t="s">
        <v>132</v>
      </c>
      <c r="H25" s="6">
        <v>60</v>
      </c>
    </row>
    <row r="26" spans="1:8" x14ac:dyDescent="0.2">
      <c r="A26" s="1">
        <v>3</v>
      </c>
      <c r="B26" s="21" t="s">
        <v>219</v>
      </c>
      <c r="C26" s="21">
        <v>560688.05033700005</v>
      </c>
      <c r="D26" s="21">
        <v>443728.23617300001</v>
      </c>
      <c r="E26" s="22">
        <f t="shared" si="0"/>
        <v>1028.4775168000001</v>
      </c>
      <c r="F26" s="1" t="s">
        <v>218</v>
      </c>
      <c r="G26" s="1" t="s">
        <v>132</v>
      </c>
      <c r="H26" s="6">
        <v>65</v>
      </c>
    </row>
    <row r="27" spans="1:8" x14ac:dyDescent="0.2">
      <c r="A27" s="1">
        <v>3</v>
      </c>
      <c r="B27" s="21" t="s">
        <v>219</v>
      </c>
      <c r="C27" s="21">
        <v>560688.05033700005</v>
      </c>
      <c r="D27" s="21">
        <v>443728.23617300001</v>
      </c>
      <c r="E27" s="22">
        <f t="shared" si="0"/>
        <v>1023.4775168000001</v>
      </c>
      <c r="F27" s="1" t="s">
        <v>11</v>
      </c>
      <c r="G27" s="1" t="s">
        <v>132</v>
      </c>
      <c r="H27" s="6">
        <v>70</v>
      </c>
    </row>
    <row r="28" spans="1:8" x14ac:dyDescent="0.2">
      <c r="A28" s="1">
        <v>3</v>
      </c>
      <c r="B28" s="21" t="s">
        <v>219</v>
      </c>
      <c r="C28" s="21">
        <v>560688.05033700005</v>
      </c>
      <c r="D28" s="21">
        <v>443728.23617300001</v>
      </c>
      <c r="E28" s="29">
        <f t="shared" si="0"/>
        <v>1018.4775168000001</v>
      </c>
      <c r="F28" s="1" t="s">
        <v>280</v>
      </c>
      <c r="G28" s="1" t="s">
        <v>132</v>
      </c>
      <c r="H28" s="6">
        <v>75</v>
      </c>
    </row>
    <row r="29" spans="1:8" x14ac:dyDescent="0.2">
      <c r="A29" s="1">
        <v>3</v>
      </c>
      <c r="B29" s="21" t="s">
        <v>219</v>
      </c>
      <c r="C29" s="21">
        <v>560688.05033700005</v>
      </c>
      <c r="D29" s="21">
        <v>443728.23617300001</v>
      </c>
      <c r="E29" s="29">
        <f t="shared" si="0"/>
        <v>1014.0330723555556</v>
      </c>
      <c r="F29" s="1" t="s">
        <v>281</v>
      </c>
      <c r="G29" s="1" t="s">
        <v>22</v>
      </c>
      <c r="H29" s="6">
        <f>75+0.8/1.8*10</f>
        <v>79.444444444444443</v>
      </c>
    </row>
    <row r="30" spans="1:8" x14ac:dyDescent="0.2">
      <c r="A30" s="1">
        <v>3</v>
      </c>
      <c r="B30" s="21" t="s">
        <v>219</v>
      </c>
      <c r="C30" s="21">
        <v>560688.05033700005</v>
      </c>
      <c r="D30" s="21">
        <v>443728.23617300001</v>
      </c>
      <c r="E30" s="29">
        <f t="shared" si="0"/>
        <v>1012.366405688889</v>
      </c>
      <c r="F30" s="1" t="s">
        <v>282</v>
      </c>
      <c r="G30" s="1" t="s">
        <v>138</v>
      </c>
      <c r="H30" s="6">
        <f>75+1.1/1.8*10</f>
        <v>81.111111111111114</v>
      </c>
    </row>
    <row r="31" spans="1:8" x14ac:dyDescent="0.2">
      <c r="A31" s="1">
        <v>3</v>
      </c>
      <c r="B31" s="21" t="s">
        <v>219</v>
      </c>
      <c r="C31" s="21">
        <v>560688.05033700005</v>
      </c>
      <c r="D31" s="21">
        <v>443728.23617300001</v>
      </c>
      <c r="E31" s="29">
        <f t="shared" si="0"/>
        <v>1008.4775168000001</v>
      </c>
      <c r="F31" s="1" t="s">
        <v>282</v>
      </c>
      <c r="G31" s="1" t="s">
        <v>138</v>
      </c>
      <c r="H31" s="6">
        <v>85</v>
      </c>
    </row>
    <row r="32" spans="1:8" x14ac:dyDescent="0.2">
      <c r="A32" s="1">
        <v>3</v>
      </c>
      <c r="B32" s="21" t="s">
        <v>219</v>
      </c>
      <c r="C32" s="21">
        <v>560688.05033700005</v>
      </c>
      <c r="D32" s="21">
        <v>443728.23617300001</v>
      </c>
      <c r="E32" s="33">
        <f t="shared" si="0"/>
        <v>998.4775168000001</v>
      </c>
      <c r="F32" s="1" t="s">
        <v>283</v>
      </c>
      <c r="G32" s="1" t="s">
        <v>138</v>
      </c>
      <c r="H32" s="6">
        <v>95</v>
      </c>
    </row>
    <row r="33" spans="1:4" x14ac:dyDescent="0.2">
      <c r="A33" s="1"/>
      <c r="B33" s="21"/>
      <c r="C33" s="21"/>
      <c r="D33" s="21"/>
    </row>
  </sheetData>
  <phoneticPr fontId="8" type="noConversion"/>
  <printOptions gridLines="1"/>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BreakPreview" workbookViewId="0">
      <selection activeCell="A7" sqref="A7"/>
    </sheetView>
  </sheetViews>
  <sheetFormatPr baseColWidth="10" defaultColWidth="8.83203125" defaultRowHeight="15" x14ac:dyDescent="0.2"/>
  <cols>
    <col min="1" max="4" width="8.83203125" style="1"/>
    <col min="5" max="5" width="11.6640625" style="1" bestFit="1" customWidth="1"/>
    <col min="6" max="6" width="43" style="1" bestFit="1" customWidth="1"/>
    <col min="7" max="7" width="20" style="1" bestFit="1" customWidth="1"/>
    <col min="8" max="8" width="16.5" style="1" bestFit="1" customWidth="1"/>
    <col min="9" max="9" width="8.83203125" style="1"/>
    <col min="10" max="10" width="16.5" style="1" bestFit="1" customWidth="1"/>
    <col min="11" max="11" width="43" style="1" bestFit="1" customWidth="1"/>
    <col min="12" max="12" width="19" style="1" bestFit="1" customWidth="1"/>
    <col min="13" max="16384" width="8.83203125" style="1"/>
  </cols>
  <sheetData>
    <row r="1" spans="1:9" x14ac:dyDescent="0.2">
      <c r="A1" s="28" t="s">
        <v>296</v>
      </c>
      <c r="E1" s="2"/>
    </row>
    <row r="2" spans="1:9" x14ac:dyDescent="0.2">
      <c r="D2" s="1" t="s">
        <v>9</v>
      </c>
      <c r="E2" s="1">
        <v>1116.997572</v>
      </c>
      <c r="F2" s="12">
        <v>1105.3605744000001</v>
      </c>
      <c r="G2" s="31">
        <f>E2-F2</f>
        <v>11.636997599999859</v>
      </c>
    </row>
    <row r="3" spans="1:9" x14ac:dyDescent="0.2">
      <c r="A3" s="13" t="s">
        <v>1</v>
      </c>
      <c r="B3" s="13" t="s">
        <v>0</v>
      </c>
      <c r="C3" s="13" t="s">
        <v>3</v>
      </c>
      <c r="D3" s="13" t="s">
        <v>4</v>
      </c>
      <c r="E3" s="14" t="s">
        <v>5</v>
      </c>
      <c r="F3" s="13" t="s">
        <v>196</v>
      </c>
      <c r="G3" s="13" t="s">
        <v>197</v>
      </c>
      <c r="H3" s="13" t="s">
        <v>10</v>
      </c>
    </row>
    <row r="4" spans="1:9" x14ac:dyDescent="0.2">
      <c r="A4" s="1">
        <v>4</v>
      </c>
      <c r="B4" s="26" t="s">
        <v>220</v>
      </c>
      <c r="C4" s="1">
        <v>561807.62582700001</v>
      </c>
      <c r="D4" s="1">
        <v>445988.71259700001</v>
      </c>
      <c r="E4" s="1">
        <f>$E$2-H4</f>
        <v>1116.997572</v>
      </c>
      <c r="F4" s="1" t="s">
        <v>66</v>
      </c>
      <c r="G4" s="1" t="s">
        <v>151</v>
      </c>
      <c r="H4" s="1">
        <v>0</v>
      </c>
    </row>
    <row r="5" spans="1:9" x14ac:dyDescent="0.2">
      <c r="A5" s="1">
        <v>4</v>
      </c>
      <c r="B5" s="26" t="s">
        <v>220</v>
      </c>
      <c r="C5" s="1">
        <v>561807.62582700001</v>
      </c>
      <c r="D5" s="1">
        <v>445988.71259700001</v>
      </c>
      <c r="E5" s="1">
        <f>$E$2-H5</f>
        <v>1115.697572</v>
      </c>
      <c r="F5" s="1" t="s">
        <v>67</v>
      </c>
      <c r="G5" t="s">
        <v>293</v>
      </c>
      <c r="H5" s="1">
        <v>1.3</v>
      </c>
    </row>
    <row r="6" spans="1:9" x14ac:dyDescent="0.2">
      <c r="A6" s="1">
        <v>4</v>
      </c>
      <c r="B6" s="26" t="s">
        <v>220</v>
      </c>
      <c r="C6" s="1">
        <v>561807.62582700001</v>
      </c>
      <c r="D6" s="1">
        <v>445988.71259700001</v>
      </c>
      <c r="E6" s="1">
        <f t="shared" ref="E6:E43" si="0">$E$2-H6</f>
        <v>1115.197572</v>
      </c>
      <c r="F6" s="1" t="s">
        <v>68</v>
      </c>
      <c r="G6" t="s">
        <v>293</v>
      </c>
      <c r="H6" s="1">
        <v>1.8</v>
      </c>
    </row>
    <row r="7" spans="1:9" x14ac:dyDescent="0.2">
      <c r="A7" s="1">
        <v>4</v>
      </c>
      <c r="B7" s="26" t="s">
        <v>220</v>
      </c>
      <c r="C7" s="1">
        <v>561807.62582700001</v>
      </c>
      <c r="D7" s="1">
        <v>445988.71259700001</v>
      </c>
      <c r="E7" s="1">
        <f t="shared" si="0"/>
        <v>1114.3975720000001</v>
      </c>
      <c r="F7" s="1" t="s">
        <v>69</v>
      </c>
      <c r="G7" t="s">
        <v>293</v>
      </c>
      <c r="H7" s="1">
        <v>2.6</v>
      </c>
    </row>
    <row r="8" spans="1:9" x14ac:dyDescent="0.2">
      <c r="A8" s="1">
        <v>4</v>
      </c>
      <c r="B8" s="26" t="s">
        <v>220</v>
      </c>
      <c r="C8" s="1">
        <v>561807.62582700001</v>
      </c>
      <c r="D8" s="1">
        <v>445988.71259700001</v>
      </c>
      <c r="E8" s="1">
        <f t="shared" si="0"/>
        <v>1113.197572</v>
      </c>
      <c r="F8" s="1" t="s">
        <v>70</v>
      </c>
      <c r="G8" t="s">
        <v>293</v>
      </c>
      <c r="H8" s="1">
        <v>3.8</v>
      </c>
    </row>
    <row r="9" spans="1:9" x14ac:dyDescent="0.2">
      <c r="A9" s="1">
        <v>4</v>
      </c>
      <c r="B9" s="26" t="s">
        <v>220</v>
      </c>
      <c r="C9" s="1">
        <v>561807.62582700001</v>
      </c>
      <c r="D9" s="1">
        <v>445988.71259700001</v>
      </c>
      <c r="E9" s="1">
        <f t="shared" si="0"/>
        <v>1112.5975719999999</v>
      </c>
      <c r="F9" s="1" t="s">
        <v>140</v>
      </c>
      <c r="G9" t="s">
        <v>293</v>
      </c>
      <c r="H9" s="1">
        <v>4.4000000000000004</v>
      </c>
    </row>
    <row r="10" spans="1:9" x14ac:dyDescent="0.2">
      <c r="A10" s="1">
        <v>4</v>
      </c>
      <c r="B10" s="26" t="s">
        <v>220</v>
      </c>
      <c r="C10" s="1">
        <v>561807.62582700001</v>
      </c>
      <c r="D10" s="1">
        <v>445988.71259700001</v>
      </c>
      <c r="E10" s="1">
        <f t="shared" si="0"/>
        <v>1112.2975719999999</v>
      </c>
      <c r="F10" s="1" t="s">
        <v>68</v>
      </c>
      <c r="G10" t="s">
        <v>293</v>
      </c>
      <c r="H10" s="1">
        <v>4.7</v>
      </c>
    </row>
    <row r="11" spans="1:9" x14ac:dyDescent="0.2">
      <c r="A11" s="1">
        <v>4</v>
      </c>
      <c r="B11" s="26" t="s">
        <v>220</v>
      </c>
      <c r="C11" s="1">
        <v>561807.62582700001</v>
      </c>
      <c r="D11" s="1">
        <v>445988.71259700001</v>
      </c>
      <c r="E11" s="1">
        <f t="shared" si="0"/>
        <v>1111.997572</v>
      </c>
      <c r="F11" s="1" t="s">
        <v>71</v>
      </c>
      <c r="G11" t="s">
        <v>293</v>
      </c>
      <c r="H11" s="1">
        <v>5</v>
      </c>
    </row>
    <row r="12" spans="1:9" x14ac:dyDescent="0.2">
      <c r="A12" s="1">
        <v>4</v>
      </c>
      <c r="B12" s="26" t="s">
        <v>220</v>
      </c>
      <c r="C12" s="1">
        <v>561807.62582700001</v>
      </c>
      <c r="D12" s="1">
        <v>445988.71259700001</v>
      </c>
      <c r="E12" s="1">
        <f t="shared" si="0"/>
        <v>1106.997572</v>
      </c>
      <c r="F12" s="1" t="s">
        <v>71</v>
      </c>
      <c r="G12" t="s">
        <v>293</v>
      </c>
      <c r="H12" s="1">
        <v>10</v>
      </c>
    </row>
    <row r="13" spans="1:9" x14ac:dyDescent="0.2">
      <c r="A13" s="1">
        <v>4</v>
      </c>
      <c r="B13" s="26" t="s">
        <v>220</v>
      </c>
      <c r="C13" s="1">
        <v>561807.62582700001</v>
      </c>
      <c r="D13" s="1">
        <v>445988.71259700001</v>
      </c>
      <c r="E13" s="1">
        <f t="shared" si="0"/>
        <v>1101.997572</v>
      </c>
      <c r="F13" s="1" t="s">
        <v>72</v>
      </c>
      <c r="G13" t="s">
        <v>293</v>
      </c>
      <c r="H13" s="1">
        <v>15</v>
      </c>
      <c r="I13" s="1" t="s">
        <v>291</v>
      </c>
    </row>
    <row r="14" spans="1:9" x14ac:dyDescent="0.2">
      <c r="A14" s="1">
        <v>4</v>
      </c>
      <c r="B14" s="26" t="s">
        <v>220</v>
      </c>
      <c r="C14" s="1">
        <v>561807.62582700001</v>
      </c>
      <c r="D14" s="1">
        <v>445988.71259700001</v>
      </c>
      <c r="E14" s="1">
        <f t="shared" si="0"/>
        <v>1100.8975720000001</v>
      </c>
      <c r="F14" s="1" t="s">
        <v>73</v>
      </c>
      <c r="G14" t="s">
        <v>293</v>
      </c>
      <c r="H14" s="1">
        <v>16.100000000000001</v>
      </c>
    </row>
    <row r="15" spans="1:9" x14ac:dyDescent="0.2">
      <c r="A15" s="1">
        <v>4</v>
      </c>
      <c r="B15" s="26" t="s">
        <v>220</v>
      </c>
      <c r="C15" s="1">
        <v>561807.62582700001</v>
      </c>
      <c r="D15" s="1">
        <v>445988.71259700001</v>
      </c>
      <c r="E15" s="1">
        <f t="shared" si="0"/>
        <v>1100.497572</v>
      </c>
      <c r="F15" s="1" t="s">
        <v>72</v>
      </c>
      <c r="G15" t="s">
        <v>293</v>
      </c>
      <c r="H15" s="1">
        <v>16.5</v>
      </c>
    </row>
    <row r="16" spans="1:9" x14ac:dyDescent="0.2">
      <c r="A16" s="1">
        <v>4</v>
      </c>
      <c r="B16" s="26" t="s">
        <v>220</v>
      </c>
      <c r="C16" s="1">
        <v>561807.62582700001</v>
      </c>
      <c r="D16" s="1">
        <v>445988.71259700001</v>
      </c>
      <c r="E16" s="1">
        <f t="shared" si="0"/>
        <v>1096.997572</v>
      </c>
      <c r="F16" s="1" t="s">
        <v>74</v>
      </c>
      <c r="G16" t="s">
        <v>293</v>
      </c>
      <c r="H16" s="1">
        <v>20</v>
      </c>
    </row>
    <row r="17" spans="1:8" x14ac:dyDescent="0.2">
      <c r="A17" s="1">
        <v>4</v>
      </c>
      <c r="B17" s="26" t="s">
        <v>220</v>
      </c>
      <c r="C17" s="1">
        <v>561807.62582700001</v>
      </c>
      <c r="D17" s="1">
        <v>445988.71259700001</v>
      </c>
      <c r="E17" s="1">
        <f t="shared" si="0"/>
        <v>1093.697572</v>
      </c>
      <c r="F17" s="1" t="s">
        <v>75</v>
      </c>
      <c r="G17" t="s">
        <v>293</v>
      </c>
      <c r="H17" s="1">
        <v>23.3</v>
      </c>
    </row>
    <row r="18" spans="1:8" x14ac:dyDescent="0.2">
      <c r="A18" s="1">
        <v>4</v>
      </c>
      <c r="B18" s="26" t="s">
        <v>220</v>
      </c>
      <c r="C18" s="1">
        <v>561807.62582700001</v>
      </c>
      <c r="D18" s="1">
        <v>445988.71259700001</v>
      </c>
      <c r="E18" s="1">
        <f t="shared" si="0"/>
        <v>1093.497572</v>
      </c>
      <c r="F18" s="1" t="s">
        <v>74</v>
      </c>
      <c r="G18" t="s">
        <v>293</v>
      </c>
      <c r="H18" s="1">
        <v>23.5</v>
      </c>
    </row>
    <row r="19" spans="1:8" x14ac:dyDescent="0.2">
      <c r="A19" s="1">
        <v>4</v>
      </c>
      <c r="B19" s="26" t="s">
        <v>220</v>
      </c>
      <c r="C19" s="1">
        <v>561807.62582700001</v>
      </c>
      <c r="D19" s="1">
        <v>445988.71259700001</v>
      </c>
      <c r="E19" s="1">
        <f t="shared" si="0"/>
        <v>1092.7975719999999</v>
      </c>
      <c r="F19" s="1" t="s">
        <v>76</v>
      </c>
      <c r="G19" t="s">
        <v>293</v>
      </c>
      <c r="H19" s="1">
        <v>24.2</v>
      </c>
    </row>
    <row r="20" spans="1:8" x14ac:dyDescent="0.2">
      <c r="A20" s="1">
        <v>4</v>
      </c>
      <c r="B20" s="26" t="s">
        <v>220</v>
      </c>
      <c r="C20" s="1">
        <v>561807.62582700001</v>
      </c>
      <c r="D20" s="1">
        <v>445988.71259700001</v>
      </c>
      <c r="E20" s="1">
        <f t="shared" si="0"/>
        <v>1092.697572</v>
      </c>
      <c r="F20" s="1" t="s">
        <v>12</v>
      </c>
      <c r="G20" t="s">
        <v>293</v>
      </c>
      <c r="H20" s="1">
        <v>24.3</v>
      </c>
    </row>
    <row r="21" spans="1:8" x14ac:dyDescent="0.2">
      <c r="A21" s="1">
        <v>4</v>
      </c>
      <c r="B21" s="26" t="s">
        <v>220</v>
      </c>
      <c r="C21" s="1">
        <v>561807.62582700001</v>
      </c>
      <c r="D21" s="1">
        <v>445988.71259700001</v>
      </c>
      <c r="E21" s="1">
        <f t="shared" si="0"/>
        <v>1091.997572</v>
      </c>
      <c r="F21" s="1" t="s">
        <v>42</v>
      </c>
      <c r="G21" s="1" t="s">
        <v>132</v>
      </c>
      <c r="H21" s="1">
        <v>25</v>
      </c>
    </row>
    <row r="22" spans="1:8" x14ac:dyDescent="0.2">
      <c r="A22" s="1">
        <v>4</v>
      </c>
      <c r="B22" s="26" t="s">
        <v>220</v>
      </c>
      <c r="C22" s="1">
        <v>561807.62582700001</v>
      </c>
      <c r="D22" s="1">
        <v>445988.71259700001</v>
      </c>
      <c r="E22" s="1">
        <f t="shared" si="0"/>
        <v>1091.3975720000001</v>
      </c>
      <c r="F22" s="1" t="s">
        <v>77</v>
      </c>
      <c r="G22" s="1" t="s">
        <v>78</v>
      </c>
      <c r="H22" s="1">
        <v>25.6</v>
      </c>
    </row>
    <row r="23" spans="1:8" x14ac:dyDescent="0.2">
      <c r="A23" s="1">
        <v>4</v>
      </c>
      <c r="B23" s="26" t="s">
        <v>220</v>
      </c>
      <c r="C23" s="1">
        <v>561807.62582700001</v>
      </c>
      <c r="D23" s="1">
        <v>445988.71259700001</v>
      </c>
      <c r="E23" s="1">
        <f t="shared" si="0"/>
        <v>1089.997572</v>
      </c>
      <c r="F23" s="1" t="s">
        <v>11</v>
      </c>
      <c r="G23" s="1" t="s">
        <v>132</v>
      </c>
      <c r="H23" s="1">
        <v>27</v>
      </c>
    </row>
    <row r="24" spans="1:8" x14ac:dyDescent="0.2">
      <c r="A24" s="1">
        <v>4</v>
      </c>
      <c r="B24" s="26" t="s">
        <v>220</v>
      </c>
      <c r="C24" s="1">
        <v>561807.62582700001</v>
      </c>
      <c r="D24" s="1">
        <v>445988.71259700001</v>
      </c>
      <c r="E24" s="1">
        <f t="shared" si="0"/>
        <v>1089.5975719999999</v>
      </c>
      <c r="F24" s="1" t="s">
        <v>78</v>
      </c>
      <c r="G24" s="1" t="s">
        <v>78</v>
      </c>
      <c r="H24" s="1">
        <v>27.4</v>
      </c>
    </row>
    <row r="25" spans="1:8" x14ac:dyDescent="0.2">
      <c r="A25" s="1">
        <v>4</v>
      </c>
      <c r="B25" s="26" t="s">
        <v>220</v>
      </c>
      <c r="C25" s="1">
        <v>561807.62582700001</v>
      </c>
      <c r="D25" s="1">
        <v>445988.71259700001</v>
      </c>
      <c r="E25" s="1">
        <f t="shared" si="0"/>
        <v>1089.3975720000001</v>
      </c>
      <c r="F25" s="1" t="s">
        <v>12</v>
      </c>
      <c r="G25" s="1" t="s">
        <v>132</v>
      </c>
      <c r="H25" s="1">
        <v>27.6</v>
      </c>
    </row>
    <row r="26" spans="1:8" x14ac:dyDescent="0.2">
      <c r="A26" s="1">
        <v>4</v>
      </c>
      <c r="B26" s="26" t="s">
        <v>220</v>
      </c>
      <c r="C26" s="1">
        <v>561807.62582700001</v>
      </c>
      <c r="D26" s="1">
        <v>445988.71259700001</v>
      </c>
      <c r="E26" s="1">
        <f t="shared" si="0"/>
        <v>1088.0975719999999</v>
      </c>
      <c r="F26" s="1" t="s">
        <v>78</v>
      </c>
      <c r="G26" s="1" t="s">
        <v>78</v>
      </c>
      <c r="H26" s="1">
        <v>28.9</v>
      </c>
    </row>
    <row r="27" spans="1:8" x14ac:dyDescent="0.2">
      <c r="A27" s="1">
        <v>4</v>
      </c>
      <c r="B27" s="26" t="s">
        <v>220</v>
      </c>
      <c r="C27" s="1">
        <v>561807.62582700001</v>
      </c>
      <c r="D27" s="1">
        <v>445988.71259700001</v>
      </c>
      <c r="E27" s="1">
        <f t="shared" si="0"/>
        <v>1086.997572</v>
      </c>
      <c r="F27" s="1" t="s">
        <v>79</v>
      </c>
      <c r="G27" s="3" t="s">
        <v>79</v>
      </c>
      <c r="H27" s="1">
        <v>30</v>
      </c>
    </row>
    <row r="28" spans="1:8" x14ac:dyDescent="0.2">
      <c r="A28" s="1">
        <v>4</v>
      </c>
      <c r="B28" s="26" t="s">
        <v>220</v>
      </c>
      <c r="C28" s="1">
        <v>561807.62582700001</v>
      </c>
      <c r="D28" s="1">
        <v>445988.71259700001</v>
      </c>
      <c r="E28" s="1">
        <f t="shared" si="0"/>
        <v>1071.997572</v>
      </c>
      <c r="F28" s="1" t="s">
        <v>80</v>
      </c>
      <c r="G28" s="1" t="s">
        <v>78</v>
      </c>
      <c r="H28" s="1">
        <v>45</v>
      </c>
    </row>
    <row r="29" spans="1:8" x14ac:dyDescent="0.2">
      <c r="A29" s="1">
        <v>4</v>
      </c>
      <c r="B29" s="26" t="s">
        <v>220</v>
      </c>
      <c r="C29" s="1">
        <v>561807.62582700001</v>
      </c>
      <c r="D29" s="1">
        <v>445988.71259700001</v>
      </c>
      <c r="E29" s="1">
        <f t="shared" si="0"/>
        <v>1069.197572</v>
      </c>
      <c r="F29" s="1" t="s">
        <v>20</v>
      </c>
      <c r="G29" s="1" t="s">
        <v>78</v>
      </c>
      <c r="H29" s="1">
        <v>47.8</v>
      </c>
    </row>
    <row r="30" spans="1:8" x14ac:dyDescent="0.2">
      <c r="A30" s="1">
        <v>4</v>
      </c>
      <c r="B30" s="26" t="s">
        <v>220</v>
      </c>
      <c r="C30" s="1">
        <v>561807.62582700001</v>
      </c>
      <c r="D30" s="1">
        <v>445988.71259700001</v>
      </c>
      <c r="E30" s="1">
        <f t="shared" si="0"/>
        <v>1068.7975719999999</v>
      </c>
      <c r="F30" s="1" t="s">
        <v>81</v>
      </c>
      <c r="G30" s="1" t="s">
        <v>78</v>
      </c>
      <c r="H30" s="1">
        <v>48.2</v>
      </c>
    </row>
    <row r="31" spans="1:8" x14ac:dyDescent="0.2">
      <c r="A31" s="1">
        <v>4</v>
      </c>
      <c r="B31" s="26" t="s">
        <v>220</v>
      </c>
      <c r="C31" s="1">
        <v>561807.62582700001</v>
      </c>
      <c r="D31" s="1">
        <v>445988.71259700001</v>
      </c>
      <c r="E31" s="1">
        <f t="shared" si="0"/>
        <v>1067.5975719999999</v>
      </c>
      <c r="F31" s="1" t="s">
        <v>20</v>
      </c>
      <c r="G31" s="1" t="s">
        <v>78</v>
      </c>
      <c r="H31" s="1">
        <v>49.4</v>
      </c>
    </row>
    <row r="32" spans="1:8" x14ac:dyDescent="0.2">
      <c r="A32" s="1">
        <v>4</v>
      </c>
      <c r="B32" s="26" t="s">
        <v>220</v>
      </c>
      <c r="C32" s="1">
        <v>561807.62582700001</v>
      </c>
      <c r="D32" s="1">
        <v>445988.71259700001</v>
      </c>
      <c r="E32" s="1">
        <f t="shared" si="0"/>
        <v>1067.2975719999999</v>
      </c>
      <c r="F32" s="1" t="s">
        <v>17</v>
      </c>
      <c r="G32" s="1" t="s">
        <v>78</v>
      </c>
      <c r="H32" s="1">
        <v>49.7</v>
      </c>
    </row>
    <row r="33" spans="1:8" x14ac:dyDescent="0.2">
      <c r="A33" s="1">
        <v>4</v>
      </c>
      <c r="B33" s="26" t="s">
        <v>220</v>
      </c>
      <c r="C33" s="1">
        <v>561807.62582700001</v>
      </c>
      <c r="D33" s="1">
        <v>445988.71259700001</v>
      </c>
      <c r="E33" s="1">
        <f t="shared" si="0"/>
        <v>1066.997572</v>
      </c>
      <c r="F33" s="1" t="s">
        <v>42</v>
      </c>
      <c r="G33" s="1" t="s">
        <v>132</v>
      </c>
      <c r="H33" s="1">
        <v>50</v>
      </c>
    </row>
    <row r="34" spans="1:8" x14ac:dyDescent="0.2">
      <c r="A34" s="1">
        <v>4</v>
      </c>
      <c r="B34" s="26" t="s">
        <v>220</v>
      </c>
      <c r="C34" s="1">
        <v>561807.62582700001</v>
      </c>
      <c r="D34" s="1">
        <v>445988.71259700001</v>
      </c>
      <c r="E34" s="1">
        <f t="shared" si="0"/>
        <v>1066.0975719999999</v>
      </c>
      <c r="F34" s="1" t="s">
        <v>59</v>
      </c>
      <c r="G34" s="1" t="s">
        <v>78</v>
      </c>
      <c r="H34" s="1">
        <v>50.9</v>
      </c>
    </row>
    <row r="35" spans="1:8" x14ac:dyDescent="0.2">
      <c r="A35" s="1">
        <v>4</v>
      </c>
      <c r="B35" s="26" t="s">
        <v>220</v>
      </c>
      <c r="C35" s="1">
        <v>561807.62582700001</v>
      </c>
      <c r="D35" s="1">
        <v>445988.71259700001</v>
      </c>
      <c r="E35" s="1">
        <f t="shared" si="0"/>
        <v>1064.5975719999999</v>
      </c>
      <c r="F35" s="1" t="s">
        <v>42</v>
      </c>
      <c r="G35" s="1" t="s">
        <v>132</v>
      </c>
      <c r="H35" s="1">
        <v>52.4</v>
      </c>
    </row>
    <row r="36" spans="1:8" x14ac:dyDescent="0.2">
      <c r="A36" s="1">
        <v>4</v>
      </c>
      <c r="B36" s="26" t="s">
        <v>220</v>
      </c>
      <c r="C36" s="1">
        <v>561807.62582700001</v>
      </c>
      <c r="D36" s="1">
        <v>445988.71259700001</v>
      </c>
      <c r="E36" s="1">
        <f t="shared" si="0"/>
        <v>1063.197572</v>
      </c>
      <c r="F36" s="1" t="s">
        <v>20</v>
      </c>
      <c r="G36" s="1" t="s">
        <v>135</v>
      </c>
      <c r="H36" s="1">
        <v>53.8</v>
      </c>
    </row>
    <row r="37" spans="1:8" x14ac:dyDescent="0.2">
      <c r="A37" s="1">
        <v>4</v>
      </c>
      <c r="B37" s="26" t="s">
        <v>220</v>
      </c>
      <c r="C37" s="1">
        <v>561807.62582700001</v>
      </c>
      <c r="D37" s="1">
        <v>445988.71259700001</v>
      </c>
      <c r="E37" s="1">
        <f t="shared" si="0"/>
        <v>1062.2975719999999</v>
      </c>
      <c r="F37" s="1" t="s">
        <v>17</v>
      </c>
      <c r="G37" s="1" t="s">
        <v>78</v>
      </c>
      <c r="H37" s="1">
        <v>54.7</v>
      </c>
    </row>
    <row r="38" spans="1:8" x14ac:dyDescent="0.2">
      <c r="A38" s="1">
        <v>4</v>
      </c>
      <c r="B38" s="26" t="s">
        <v>220</v>
      </c>
      <c r="C38" s="1">
        <v>561807.62582700001</v>
      </c>
      <c r="D38" s="1">
        <v>445988.71259700001</v>
      </c>
      <c r="E38" s="1">
        <f t="shared" si="0"/>
        <v>1061.997572</v>
      </c>
      <c r="F38" s="1" t="s">
        <v>82</v>
      </c>
      <c r="G38" s="1" t="s">
        <v>78</v>
      </c>
      <c r="H38" s="1">
        <v>55</v>
      </c>
    </row>
    <row r="39" spans="1:8" x14ac:dyDescent="0.2">
      <c r="A39" s="1">
        <v>4</v>
      </c>
      <c r="B39" s="26" t="s">
        <v>220</v>
      </c>
      <c r="C39" s="1">
        <v>561807.62582700001</v>
      </c>
      <c r="D39" s="1">
        <v>445988.71259700001</v>
      </c>
      <c r="E39" s="1">
        <f t="shared" si="0"/>
        <v>1059.2975719999999</v>
      </c>
      <c r="F39" s="1" t="s">
        <v>83</v>
      </c>
      <c r="G39" s="1" t="s">
        <v>78</v>
      </c>
      <c r="H39" s="1">
        <v>57.7</v>
      </c>
    </row>
    <row r="40" spans="1:8" x14ac:dyDescent="0.2">
      <c r="A40" s="1">
        <v>4</v>
      </c>
      <c r="B40" s="26" t="s">
        <v>220</v>
      </c>
      <c r="C40" s="1">
        <v>561807.62582700001</v>
      </c>
      <c r="D40" s="1">
        <v>445988.71259700001</v>
      </c>
      <c r="E40" s="1">
        <f t="shared" si="0"/>
        <v>1056.997572</v>
      </c>
      <c r="F40" s="1" t="s">
        <v>84</v>
      </c>
      <c r="G40" s="1" t="s">
        <v>135</v>
      </c>
      <c r="H40" s="1">
        <v>60</v>
      </c>
    </row>
    <row r="41" spans="1:8" x14ac:dyDescent="0.2">
      <c r="A41" s="1">
        <v>4</v>
      </c>
      <c r="B41" s="26" t="s">
        <v>220</v>
      </c>
      <c r="C41" s="1">
        <v>561807.62582700001</v>
      </c>
      <c r="D41" s="1">
        <v>445988.71259700001</v>
      </c>
      <c r="E41" s="1">
        <f t="shared" si="0"/>
        <v>1051.997572</v>
      </c>
      <c r="F41" s="1" t="s">
        <v>85</v>
      </c>
      <c r="G41" s="1" t="s">
        <v>78</v>
      </c>
      <c r="H41" s="1">
        <v>65</v>
      </c>
    </row>
    <row r="42" spans="1:8" x14ac:dyDescent="0.2">
      <c r="A42" s="1">
        <v>4</v>
      </c>
      <c r="B42" s="26" t="s">
        <v>220</v>
      </c>
      <c r="C42" s="1">
        <v>561807.62582700001</v>
      </c>
      <c r="D42" s="1">
        <v>445988.71259700001</v>
      </c>
      <c r="E42" s="1">
        <f t="shared" si="0"/>
        <v>1050.5975719999999</v>
      </c>
      <c r="F42" s="1" t="s">
        <v>86</v>
      </c>
      <c r="G42" s="1" t="s">
        <v>132</v>
      </c>
      <c r="H42" s="1">
        <v>66.400000000000006</v>
      </c>
    </row>
    <row r="43" spans="1:8" x14ac:dyDescent="0.2">
      <c r="A43" s="1">
        <v>4</v>
      </c>
      <c r="B43" s="26" t="s">
        <v>220</v>
      </c>
      <c r="C43" s="1">
        <v>561807.62582700001</v>
      </c>
      <c r="D43" s="1">
        <v>445988.71259700001</v>
      </c>
      <c r="E43" s="1">
        <f t="shared" si="0"/>
        <v>1046.997572</v>
      </c>
      <c r="F43" s="1" t="s">
        <v>86</v>
      </c>
      <c r="G43" s="1" t="s">
        <v>132</v>
      </c>
      <c r="H43" s="1">
        <v>70</v>
      </c>
    </row>
  </sheetData>
  <phoneticPr fontId="8" type="noConversion"/>
  <printOptions gridLines="1"/>
  <pageMargins left="0.7" right="0.7" top="0.75" bottom="0.75" header="0.3" footer="0.3"/>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view="pageBreakPreview" workbookViewId="0">
      <selection activeCell="A7" sqref="A7"/>
    </sheetView>
  </sheetViews>
  <sheetFormatPr baseColWidth="10" defaultColWidth="8.83203125" defaultRowHeight="15" x14ac:dyDescent="0.2"/>
  <cols>
    <col min="2" max="2" width="7.5" bestFit="1" customWidth="1"/>
    <col min="3" max="3" width="11" bestFit="1" customWidth="1"/>
    <col min="4" max="4" width="15.5" bestFit="1" customWidth="1"/>
    <col min="5" max="5" width="11.6640625" bestFit="1" customWidth="1"/>
    <col min="6" max="6" width="77" customWidth="1"/>
    <col min="7" max="7" width="22.83203125" customWidth="1"/>
    <col min="8" max="8" width="16.5" bestFit="1" customWidth="1"/>
  </cols>
  <sheetData>
    <row r="1" spans="1:8" s="1" customFormat="1" x14ac:dyDescent="0.2">
      <c r="A1" s="28" t="s">
        <v>296</v>
      </c>
      <c r="E1" s="2"/>
    </row>
    <row r="2" spans="1:8" x14ac:dyDescent="0.2">
      <c r="A2" s="1"/>
      <c r="B2" s="1"/>
      <c r="C2" s="1"/>
      <c r="D2" s="1" t="s">
        <v>9</v>
      </c>
      <c r="E2" s="12">
        <v>1105.3605744000001</v>
      </c>
      <c r="F2" s="1"/>
      <c r="G2" s="1"/>
      <c r="H2" s="1"/>
    </row>
    <row r="3" spans="1:8" x14ac:dyDescent="0.2">
      <c r="A3" s="13" t="s">
        <v>1</v>
      </c>
      <c r="B3" s="13" t="s">
        <v>0</v>
      </c>
      <c r="C3" s="13" t="s">
        <v>3</v>
      </c>
      <c r="D3" s="13" t="s">
        <v>4</v>
      </c>
      <c r="E3" s="14" t="s">
        <v>5</v>
      </c>
      <c r="F3" s="13" t="s">
        <v>196</v>
      </c>
      <c r="G3" s="13" t="s">
        <v>197</v>
      </c>
      <c r="H3" s="13" t="s">
        <v>10</v>
      </c>
    </row>
    <row r="4" spans="1:8" x14ac:dyDescent="0.2">
      <c r="A4" s="4">
        <v>5</v>
      </c>
      <c r="B4" s="9" t="s">
        <v>7</v>
      </c>
      <c r="C4" s="9">
        <v>560723.59207999997</v>
      </c>
      <c r="D4" s="9">
        <v>445661.80450899998</v>
      </c>
      <c r="E4" s="15">
        <f>$E$2-H4</f>
        <v>1105.3605744000001</v>
      </c>
      <c r="F4" s="1" t="s">
        <v>131</v>
      </c>
      <c r="G4" t="s">
        <v>151</v>
      </c>
      <c r="H4" s="1">
        <v>0</v>
      </c>
    </row>
    <row r="5" spans="1:8" x14ac:dyDescent="0.2">
      <c r="A5" s="4">
        <v>5</v>
      </c>
      <c r="B5" s="9" t="s">
        <v>7</v>
      </c>
      <c r="C5" s="9">
        <v>560723.59207999997</v>
      </c>
      <c r="D5" s="9">
        <v>445661.80450899998</v>
      </c>
      <c r="E5" s="15">
        <f t="shared" ref="E5:E46" si="0">$E$2-H5</f>
        <v>1104.1605744000001</v>
      </c>
      <c r="F5" s="1" t="s">
        <v>148</v>
      </c>
      <c r="G5" t="s">
        <v>138</v>
      </c>
      <c r="H5" s="1">
        <v>1.2</v>
      </c>
    </row>
    <row r="6" spans="1:8" x14ac:dyDescent="0.2">
      <c r="A6" s="4">
        <v>5</v>
      </c>
      <c r="B6" s="9" t="s">
        <v>7</v>
      </c>
      <c r="C6" s="9">
        <v>560723.59207999997</v>
      </c>
      <c r="D6" s="9">
        <v>445661.80450899998</v>
      </c>
      <c r="E6" s="15">
        <f t="shared" si="0"/>
        <v>1103.2605744000002</v>
      </c>
      <c r="F6" s="1" t="s">
        <v>149</v>
      </c>
      <c r="G6" t="s">
        <v>138</v>
      </c>
      <c r="H6" s="1">
        <v>2.1</v>
      </c>
    </row>
    <row r="7" spans="1:8" x14ac:dyDescent="0.2">
      <c r="A7" s="4">
        <v>5</v>
      </c>
      <c r="B7" s="9" t="s">
        <v>7</v>
      </c>
      <c r="C7" s="9">
        <v>560723.59207999997</v>
      </c>
      <c r="D7" s="9">
        <v>445661.80450899998</v>
      </c>
      <c r="E7" s="15">
        <f t="shared" si="0"/>
        <v>1101.2605744000002</v>
      </c>
      <c r="F7" s="1" t="s">
        <v>198</v>
      </c>
      <c r="G7" t="s">
        <v>132</v>
      </c>
      <c r="H7" s="1">
        <v>4.0999999999999996</v>
      </c>
    </row>
    <row r="8" spans="1:8" x14ac:dyDescent="0.2">
      <c r="A8" s="4">
        <v>5</v>
      </c>
      <c r="B8" s="9" t="s">
        <v>7</v>
      </c>
      <c r="C8" s="9">
        <v>560723.59207999997</v>
      </c>
      <c r="D8" s="9">
        <v>445661.80450899998</v>
      </c>
      <c r="E8" s="15">
        <f t="shared" si="0"/>
        <v>1100.9605744</v>
      </c>
      <c r="F8" s="1" t="s">
        <v>150</v>
      </c>
      <c r="G8" t="s">
        <v>138</v>
      </c>
      <c r="H8" s="1">
        <v>4.4000000000000004</v>
      </c>
    </row>
    <row r="9" spans="1:8" x14ac:dyDescent="0.2">
      <c r="A9" s="4">
        <v>5</v>
      </c>
      <c r="B9" s="9" t="s">
        <v>7</v>
      </c>
      <c r="C9" s="9">
        <v>560723.59207999997</v>
      </c>
      <c r="D9" s="9">
        <v>445661.80450899998</v>
      </c>
      <c r="E9" s="15">
        <f t="shared" si="0"/>
        <v>1100.3605744000001</v>
      </c>
      <c r="F9" s="1" t="s">
        <v>250</v>
      </c>
      <c r="G9" t="s">
        <v>138</v>
      </c>
      <c r="H9" s="1">
        <v>5</v>
      </c>
    </row>
    <row r="10" spans="1:8" x14ac:dyDescent="0.2">
      <c r="A10" s="4">
        <v>5</v>
      </c>
      <c r="B10" s="9" t="s">
        <v>7</v>
      </c>
      <c r="C10" s="9">
        <v>560723.59207999997</v>
      </c>
      <c r="D10" s="9">
        <v>445661.80450899998</v>
      </c>
      <c r="E10" s="15">
        <f t="shared" si="0"/>
        <v>1098.7605744000002</v>
      </c>
      <c r="F10" s="1" t="s">
        <v>292</v>
      </c>
      <c r="G10" t="s">
        <v>285</v>
      </c>
      <c r="H10" s="1">
        <f>5+0.8/2.5*5</f>
        <v>6.6</v>
      </c>
    </row>
    <row r="11" spans="1:8" x14ac:dyDescent="0.2">
      <c r="A11" s="4">
        <v>5</v>
      </c>
      <c r="B11" s="9" t="s">
        <v>7</v>
      </c>
      <c r="C11" s="9">
        <v>560723.59207999997</v>
      </c>
      <c r="D11" s="9">
        <v>445661.80450899998</v>
      </c>
      <c r="E11" s="15">
        <f t="shared" si="0"/>
        <v>1098.1605744000001</v>
      </c>
      <c r="F11" s="1" t="s">
        <v>251</v>
      </c>
      <c r="G11" t="s">
        <v>285</v>
      </c>
      <c r="H11" s="1">
        <f>5+1.1/2.5*5</f>
        <v>7.2</v>
      </c>
    </row>
    <row r="12" spans="1:8" x14ac:dyDescent="0.2">
      <c r="A12" s="4">
        <v>5</v>
      </c>
      <c r="B12" s="9" t="s">
        <v>7</v>
      </c>
      <c r="C12" s="9">
        <v>560723.59207999997</v>
      </c>
      <c r="D12" s="9">
        <v>445661.80450899998</v>
      </c>
      <c r="E12" s="15">
        <f t="shared" si="0"/>
        <v>1097.5605744000002</v>
      </c>
      <c r="F12" s="1" t="s">
        <v>252</v>
      </c>
      <c r="G12" t="s">
        <v>285</v>
      </c>
      <c r="H12" s="1">
        <f>5+1.4/2.5*5</f>
        <v>7.8</v>
      </c>
    </row>
    <row r="13" spans="1:8" x14ac:dyDescent="0.2">
      <c r="A13" s="4">
        <v>5</v>
      </c>
      <c r="B13" s="9" t="s">
        <v>7</v>
      </c>
      <c r="C13" s="9">
        <v>560723.59207999997</v>
      </c>
      <c r="D13" s="9">
        <v>445661.80450899998</v>
      </c>
      <c r="E13" s="15">
        <f t="shared" si="0"/>
        <v>1095.3605744000001</v>
      </c>
      <c r="F13" s="1" t="s">
        <v>253</v>
      </c>
      <c r="G13" t="s">
        <v>132</v>
      </c>
      <c r="H13" s="1">
        <v>10</v>
      </c>
    </row>
    <row r="14" spans="1:8" x14ac:dyDescent="0.2">
      <c r="A14" s="4">
        <v>5</v>
      </c>
      <c r="B14" s="9" t="s">
        <v>7</v>
      </c>
      <c r="C14" s="9">
        <v>560723.59207999997</v>
      </c>
      <c r="D14" s="9">
        <v>445661.80450899998</v>
      </c>
      <c r="E14" s="15">
        <f t="shared" si="0"/>
        <v>1085.3605744000001</v>
      </c>
      <c r="F14" s="1" t="s">
        <v>254</v>
      </c>
      <c r="G14" t="s">
        <v>285</v>
      </c>
      <c r="H14">
        <v>20</v>
      </c>
    </row>
    <row r="15" spans="1:8" x14ac:dyDescent="0.2">
      <c r="A15" s="4">
        <v>5</v>
      </c>
      <c r="B15" s="9" t="s">
        <v>7</v>
      </c>
      <c r="C15" s="9">
        <v>560723.59207999997</v>
      </c>
      <c r="D15" s="9">
        <v>445661.80450899998</v>
      </c>
      <c r="E15" s="15">
        <f t="shared" si="0"/>
        <v>1080.3605744000001</v>
      </c>
      <c r="F15" s="1" t="s">
        <v>260</v>
      </c>
      <c r="G15" t="s">
        <v>284</v>
      </c>
      <c r="H15">
        <v>25</v>
      </c>
    </row>
    <row r="16" spans="1:8" x14ac:dyDescent="0.2">
      <c r="A16" s="4">
        <v>5</v>
      </c>
      <c r="B16" s="9" t="s">
        <v>7</v>
      </c>
      <c r="C16" s="9">
        <v>560723.59207999997</v>
      </c>
      <c r="D16" s="9">
        <v>445661.80450899998</v>
      </c>
      <c r="E16" s="15">
        <f t="shared" si="0"/>
        <v>1075.3605744000001</v>
      </c>
      <c r="F16" s="1" t="s">
        <v>257</v>
      </c>
      <c r="G16" t="s">
        <v>132</v>
      </c>
      <c r="H16">
        <v>30</v>
      </c>
    </row>
    <row r="17" spans="1:8" x14ac:dyDescent="0.2">
      <c r="A17" s="4">
        <v>5</v>
      </c>
      <c r="B17" s="9" t="s">
        <v>7</v>
      </c>
      <c r="C17" s="9">
        <v>560723.59207999997</v>
      </c>
      <c r="D17" s="9">
        <v>445661.80450899998</v>
      </c>
      <c r="E17" s="15">
        <f t="shared" si="0"/>
        <v>1070.3605744000001</v>
      </c>
      <c r="F17" s="1" t="s">
        <v>256</v>
      </c>
      <c r="G17" t="s">
        <v>132</v>
      </c>
      <c r="H17">
        <v>35</v>
      </c>
    </row>
    <row r="18" spans="1:8" x14ac:dyDescent="0.2">
      <c r="A18" s="4">
        <v>5</v>
      </c>
      <c r="B18" s="9" t="s">
        <v>7</v>
      </c>
      <c r="C18" s="9">
        <v>560723.59207999997</v>
      </c>
      <c r="D18" s="9">
        <v>445661.80450899998</v>
      </c>
      <c r="E18" s="15">
        <f t="shared" si="0"/>
        <v>1067.4658375578949</v>
      </c>
      <c r="F18" s="1" t="s">
        <v>255</v>
      </c>
      <c r="G18" t="s">
        <v>137</v>
      </c>
      <c r="H18" s="1">
        <f>35+2.2/3.8*5</f>
        <v>37.89473684210526</v>
      </c>
    </row>
    <row r="19" spans="1:8" x14ac:dyDescent="0.2">
      <c r="A19" s="4">
        <v>5</v>
      </c>
      <c r="B19" s="9" t="s">
        <v>7</v>
      </c>
      <c r="C19" s="9">
        <v>560723.59207999997</v>
      </c>
      <c r="D19" s="9">
        <v>445661.80450899998</v>
      </c>
      <c r="E19" s="15">
        <f t="shared" si="0"/>
        <v>1067.2026796631581</v>
      </c>
      <c r="F19" s="1" t="s">
        <v>258</v>
      </c>
      <c r="G19" t="s">
        <v>132</v>
      </c>
      <c r="H19" s="1">
        <f>35+2.4/3.8*5</f>
        <v>38.157894736842103</v>
      </c>
    </row>
    <row r="20" spans="1:8" x14ac:dyDescent="0.2">
      <c r="A20" s="4">
        <v>5</v>
      </c>
      <c r="B20" s="9" t="s">
        <v>7</v>
      </c>
      <c r="C20" s="9">
        <v>560723.59207999997</v>
      </c>
      <c r="D20" s="9">
        <v>445661.80450899998</v>
      </c>
      <c r="E20" s="15">
        <f t="shared" si="0"/>
        <v>1066.6763638736843</v>
      </c>
      <c r="F20" s="1" t="s">
        <v>259</v>
      </c>
      <c r="G20" t="s">
        <v>132</v>
      </c>
      <c r="H20" s="1">
        <f>35+2.8/3.8*5</f>
        <v>38.684210526315788</v>
      </c>
    </row>
    <row r="21" spans="1:8" x14ac:dyDescent="0.2">
      <c r="A21" s="4">
        <v>5</v>
      </c>
      <c r="B21" s="9" t="s">
        <v>7</v>
      </c>
      <c r="C21" s="9">
        <v>560723.59207999997</v>
      </c>
      <c r="D21" s="9">
        <v>445661.80450899998</v>
      </c>
      <c r="E21" s="15">
        <f t="shared" si="0"/>
        <v>1065.4921533473685</v>
      </c>
      <c r="F21" s="1" t="s">
        <v>103</v>
      </c>
      <c r="G21" t="s">
        <v>78</v>
      </c>
      <c r="H21" s="1">
        <f>35+3.7/3.8*5</f>
        <v>39.868421052631582</v>
      </c>
    </row>
    <row r="22" spans="1:8" x14ac:dyDescent="0.2">
      <c r="A22" s="4">
        <v>5</v>
      </c>
      <c r="B22" s="9" t="s">
        <v>7</v>
      </c>
      <c r="C22" s="9">
        <v>560723.59207999997</v>
      </c>
      <c r="D22" s="9">
        <v>445661.80450899998</v>
      </c>
      <c r="E22" s="15">
        <f t="shared" si="0"/>
        <v>1065.3605744000001</v>
      </c>
      <c r="F22" s="1" t="s">
        <v>12</v>
      </c>
      <c r="G22" t="s">
        <v>132</v>
      </c>
      <c r="H22">
        <v>40</v>
      </c>
    </row>
    <row r="23" spans="1:8" x14ac:dyDescent="0.2">
      <c r="A23" s="4">
        <v>5</v>
      </c>
      <c r="B23" s="9" t="s">
        <v>7</v>
      </c>
      <c r="C23" s="9">
        <v>560723.59207999997</v>
      </c>
      <c r="D23" s="9">
        <v>445661.80450899998</v>
      </c>
      <c r="E23" s="15">
        <f t="shared" si="0"/>
        <v>1064.9060289454546</v>
      </c>
      <c r="F23" s="1" t="s">
        <v>261</v>
      </c>
      <c r="G23" s="8" t="s">
        <v>132</v>
      </c>
      <c r="H23">
        <f>40+0.3/3.3*5</f>
        <v>40.454545454545453</v>
      </c>
    </row>
    <row r="24" spans="1:8" x14ac:dyDescent="0.2">
      <c r="A24" s="4">
        <v>5</v>
      </c>
      <c r="B24" s="9" t="s">
        <v>7</v>
      </c>
      <c r="C24" s="9">
        <v>560723.59207999997</v>
      </c>
      <c r="D24" s="9">
        <v>445661.80450899998</v>
      </c>
      <c r="E24" s="15">
        <f t="shared" si="0"/>
        <v>1061.5726956121214</v>
      </c>
      <c r="F24" s="1" t="s">
        <v>262</v>
      </c>
      <c r="G24" t="s">
        <v>132</v>
      </c>
      <c r="H24">
        <f>40+2.5/3.3*5</f>
        <v>43.787878787878789</v>
      </c>
    </row>
    <row r="25" spans="1:8" x14ac:dyDescent="0.2">
      <c r="A25" s="4">
        <v>5</v>
      </c>
      <c r="B25" s="9" t="s">
        <v>7</v>
      </c>
      <c r="C25" s="9">
        <v>560723.59207999997</v>
      </c>
      <c r="D25" s="9">
        <v>445661.80450899998</v>
      </c>
      <c r="E25" s="15">
        <f t="shared" si="0"/>
        <v>1060.9666350060606</v>
      </c>
      <c r="F25" s="1" t="s">
        <v>199</v>
      </c>
      <c r="G25" t="s">
        <v>138</v>
      </c>
      <c r="H25">
        <f>40+2.9/3.3*5</f>
        <v>44.393939393939391</v>
      </c>
    </row>
    <row r="26" spans="1:8" x14ac:dyDescent="0.2">
      <c r="A26" s="4">
        <v>5</v>
      </c>
      <c r="B26" s="9" t="s">
        <v>7</v>
      </c>
      <c r="C26" s="9">
        <v>560723.59207999997</v>
      </c>
      <c r="D26" s="9">
        <v>445661.80450899998</v>
      </c>
      <c r="E26" s="15">
        <f t="shared" si="0"/>
        <v>1060.8908774303031</v>
      </c>
      <c r="F26" s="1" t="s">
        <v>261</v>
      </c>
      <c r="G26" t="s">
        <v>132</v>
      </c>
      <c r="H26">
        <f>40+2.95/3.3*5</f>
        <v>44.469696969696969</v>
      </c>
    </row>
    <row r="27" spans="1:8" x14ac:dyDescent="0.2">
      <c r="A27" s="4">
        <v>5</v>
      </c>
      <c r="B27" s="9" t="s">
        <v>7</v>
      </c>
      <c r="C27" s="9">
        <v>560723.59207999997</v>
      </c>
      <c r="D27" s="9">
        <v>445661.80450899998</v>
      </c>
      <c r="E27" s="15">
        <f t="shared" si="0"/>
        <v>1060.3605744000001</v>
      </c>
      <c r="F27" s="1" t="s">
        <v>263</v>
      </c>
      <c r="G27" t="s">
        <v>285</v>
      </c>
      <c r="H27">
        <v>45</v>
      </c>
    </row>
    <row r="28" spans="1:8" x14ac:dyDescent="0.2">
      <c r="A28" s="4">
        <v>5</v>
      </c>
      <c r="B28" s="9" t="s">
        <v>7</v>
      </c>
      <c r="C28" s="9">
        <v>560723.59207999997</v>
      </c>
      <c r="D28" s="9">
        <v>445661.80450899998</v>
      </c>
      <c r="E28" s="15">
        <f t="shared" si="0"/>
        <v>1059.3605744000001</v>
      </c>
      <c r="F28" s="1" t="s">
        <v>264</v>
      </c>
      <c r="G28" t="s">
        <v>285</v>
      </c>
      <c r="H28">
        <f>45+0.6/2.4*4</f>
        <v>46</v>
      </c>
    </row>
    <row r="29" spans="1:8" x14ac:dyDescent="0.2">
      <c r="A29" s="4">
        <v>5</v>
      </c>
      <c r="B29" s="9" t="s">
        <v>7</v>
      </c>
      <c r="C29" s="9">
        <v>560723.59207999997</v>
      </c>
      <c r="D29" s="9">
        <v>445661.80450899998</v>
      </c>
      <c r="E29" s="15">
        <f t="shared" si="0"/>
        <v>1057.5272410666669</v>
      </c>
      <c r="F29" s="1" t="s">
        <v>265</v>
      </c>
      <c r="G29" t="s">
        <v>285</v>
      </c>
      <c r="H29">
        <f>45+1.7/2.4*4</f>
        <v>47.833333333333336</v>
      </c>
    </row>
    <row r="30" spans="1:8" x14ac:dyDescent="0.2">
      <c r="A30" s="4">
        <v>5</v>
      </c>
      <c r="B30" s="9" t="s">
        <v>7</v>
      </c>
      <c r="C30" s="9">
        <v>560723.59207999997</v>
      </c>
      <c r="D30" s="9">
        <v>445661.80450899998</v>
      </c>
      <c r="E30" s="15">
        <f t="shared" si="0"/>
        <v>1056.3605744000001</v>
      </c>
      <c r="F30" s="1" t="s">
        <v>254</v>
      </c>
      <c r="G30" t="s">
        <v>285</v>
      </c>
      <c r="H30">
        <v>49</v>
      </c>
    </row>
    <row r="31" spans="1:8" x14ac:dyDescent="0.2">
      <c r="A31" s="4">
        <v>5</v>
      </c>
      <c r="B31" s="9" t="s">
        <v>7</v>
      </c>
      <c r="C31" s="9">
        <v>560723.59207999997</v>
      </c>
      <c r="D31" s="9">
        <v>445661.80450899998</v>
      </c>
      <c r="E31" s="15">
        <f t="shared" si="0"/>
        <v>1050.3605744000001</v>
      </c>
      <c r="F31" s="1" t="s">
        <v>266</v>
      </c>
      <c r="G31" t="s">
        <v>285</v>
      </c>
      <c r="H31">
        <v>55</v>
      </c>
    </row>
    <row r="32" spans="1:8" x14ac:dyDescent="0.2">
      <c r="A32" s="4">
        <v>5</v>
      </c>
      <c r="B32" s="9" t="s">
        <v>7</v>
      </c>
      <c r="C32" s="9">
        <v>560723.59207999997</v>
      </c>
      <c r="D32" s="9">
        <v>445661.80450899998</v>
      </c>
      <c r="E32" s="15">
        <f t="shared" si="0"/>
        <v>1048.5605744000002</v>
      </c>
      <c r="F32" s="1" t="s">
        <v>267</v>
      </c>
      <c r="G32" t="s">
        <v>139</v>
      </c>
      <c r="H32">
        <f>55+0.9/2.5*5</f>
        <v>56.8</v>
      </c>
    </row>
    <row r="33" spans="1:8" x14ac:dyDescent="0.2">
      <c r="A33" s="4">
        <v>5</v>
      </c>
      <c r="B33" s="9" t="s">
        <v>7</v>
      </c>
      <c r="C33" s="9">
        <v>560723.59207999997</v>
      </c>
      <c r="D33" s="9">
        <v>445661.80450899998</v>
      </c>
      <c r="E33" s="15">
        <f t="shared" si="0"/>
        <v>1047.7605744000002</v>
      </c>
      <c r="F33" s="1" t="s">
        <v>268</v>
      </c>
      <c r="G33" t="s">
        <v>138</v>
      </c>
      <c r="H33">
        <f>55+1.3/2.5*5</f>
        <v>57.6</v>
      </c>
    </row>
    <row r="34" spans="1:8" x14ac:dyDescent="0.2">
      <c r="A34" s="4">
        <v>5</v>
      </c>
      <c r="B34" s="9" t="s">
        <v>7</v>
      </c>
      <c r="C34" s="9">
        <v>560723.59207999997</v>
      </c>
      <c r="D34" s="9">
        <v>445661.80450899998</v>
      </c>
      <c r="E34" s="15">
        <f t="shared" si="0"/>
        <v>1045.3605744000001</v>
      </c>
      <c r="F34" s="1" t="s">
        <v>269</v>
      </c>
      <c r="G34" t="s">
        <v>132</v>
      </c>
      <c r="H34">
        <v>60</v>
      </c>
    </row>
    <row r="35" spans="1:8" x14ac:dyDescent="0.2">
      <c r="A35" s="27">
        <v>5</v>
      </c>
      <c r="B35" s="9" t="s">
        <v>7</v>
      </c>
      <c r="C35" s="9">
        <v>560723.59207999997</v>
      </c>
      <c r="D35" s="9">
        <v>445661.80450899998</v>
      </c>
      <c r="E35" s="15">
        <f>$E$2-H35</f>
        <v>1044.6105744000001</v>
      </c>
      <c r="F35" s="1" t="s">
        <v>270</v>
      </c>
      <c r="G35" t="s">
        <v>285</v>
      </c>
      <c r="H35">
        <f>60+0.3/2*5</f>
        <v>60.75</v>
      </c>
    </row>
    <row r="36" spans="1:8" x14ac:dyDescent="0.2">
      <c r="A36" s="27">
        <v>5</v>
      </c>
      <c r="B36" s="9" t="s">
        <v>7</v>
      </c>
      <c r="C36" s="9">
        <v>560723.59207999997</v>
      </c>
      <c r="D36" s="9">
        <v>445661.80450899998</v>
      </c>
      <c r="E36" s="15">
        <f t="shared" si="0"/>
        <v>1042.6105744000001</v>
      </c>
      <c r="F36" s="1" t="s">
        <v>271</v>
      </c>
      <c r="G36" t="s">
        <v>285</v>
      </c>
      <c r="H36">
        <f>60+1.1/2*5</f>
        <v>62.75</v>
      </c>
    </row>
    <row r="37" spans="1:8" x14ac:dyDescent="0.2">
      <c r="A37" s="27">
        <v>5</v>
      </c>
      <c r="B37" s="9" t="s">
        <v>7</v>
      </c>
      <c r="C37" s="9">
        <v>560723.59207999997</v>
      </c>
      <c r="D37" s="9">
        <v>445661.80450899998</v>
      </c>
      <c r="E37" s="15">
        <f t="shared" si="0"/>
        <v>1041.3605744000001</v>
      </c>
      <c r="F37" s="1" t="s">
        <v>272</v>
      </c>
      <c r="G37" t="s">
        <v>285</v>
      </c>
      <c r="H37">
        <f>60+1.6/2*5</f>
        <v>64</v>
      </c>
    </row>
    <row r="38" spans="1:8" x14ac:dyDescent="0.2">
      <c r="A38" s="27">
        <v>5</v>
      </c>
      <c r="B38" s="9" t="s">
        <v>7</v>
      </c>
      <c r="C38" s="9">
        <v>560723.59207999997</v>
      </c>
      <c r="D38" s="9">
        <v>445661.80450899998</v>
      </c>
      <c r="E38" s="15">
        <f t="shared" si="0"/>
        <v>1040.3605744000001</v>
      </c>
      <c r="F38" s="1" t="s">
        <v>18</v>
      </c>
      <c r="G38" t="s">
        <v>78</v>
      </c>
      <c r="H38">
        <v>65</v>
      </c>
    </row>
    <row r="39" spans="1:8" x14ac:dyDescent="0.2">
      <c r="A39" s="27">
        <v>5</v>
      </c>
      <c r="B39" s="9" t="s">
        <v>7</v>
      </c>
      <c r="C39" s="9">
        <v>560723.59207999997</v>
      </c>
      <c r="D39" s="9">
        <v>445661.80450899998</v>
      </c>
      <c r="E39" s="15">
        <f t="shared" si="0"/>
        <v>1038.8605744000001</v>
      </c>
      <c r="F39" s="1" t="s">
        <v>273</v>
      </c>
      <c r="G39" t="s">
        <v>285</v>
      </c>
      <c r="H39">
        <f>65+0.3/2*10</f>
        <v>66.5</v>
      </c>
    </row>
    <row r="40" spans="1:8" x14ac:dyDescent="0.2">
      <c r="A40" s="27">
        <v>5</v>
      </c>
      <c r="B40" s="9" t="s">
        <v>7</v>
      </c>
      <c r="C40" s="9">
        <v>560723.59207999997</v>
      </c>
      <c r="D40" s="9">
        <v>445661.80450899998</v>
      </c>
      <c r="E40" s="15">
        <f t="shared" si="0"/>
        <v>1035.8605744000001</v>
      </c>
      <c r="F40" s="1" t="s">
        <v>274</v>
      </c>
      <c r="G40" t="s">
        <v>138</v>
      </c>
      <c r="H40">
        <f>65+0.9/2*10</f>
        <v>69.5</v>
      </c>
    </row>
    <row r="41" spans="1:8" x14ac:dyDescent="0.2">
      <c r="A41" s="27">
        <v>5</v>
      </c>
      <c r="B41" s="9" t="s">
        <v>7</v>
      </c>
      <c r="C41" s="9">
        <v>560723.59207999997</v>
      </c>
      <c r="D41" s="9">
        <v>445661.80450899998</v>
      </c>
      <c r="E41" s="15">
        <f t="shared" si="0"/>
        <v>1035.6105744000001</v>
      </c>
      <c r="F41" s="1" t="s">
        <v>275</v>
      </c>
      <c r="G41" t="s">
        <v>139</v>
      </c>
      <c r="H41">
        <f>65+0.95/2*10</f>
        <v>69.75</v>
      </c>
    </row>
    <row r="42" spans="1:8" x14ac:dyDescent="0.2">
      <c r="A42" s="27">
        <v>5</v>
      </c>
      <c r="B42" s="9" t="s">
        <v>7</v>
      </c>
      <c r="C42" s="9">
        <v>560723.59207999997</v>
      </c>
      <c r="D42" s="9">
        <v>445661.80450899998</v>
      </c>
      <c r="E42" s="15">
        <f t="shared" si="0"/>
        <v>1033.8605744000001</v>
      </c>
      <c r="F42" s="1" t="s">
        <v>276</v>
      </c>
      <c r="G42" t="s">
        <v>135</v>
      </c>
      <c r="H42">
        <f>65+1.3/2*10</f>
        <v>71.5</v>
      </c>
    </row>
    <row r="43" spans="1:8" x14ac:dyDescent="0.2">
      <c r="A43" s="27">
        <v>5</v>
      </c>
      <c r="B43" s="9" t="s">
        <v>7</v>
      </c>
      <c r="C43" s="9">
        <v>560723.59207999997</v>
      </c>
      <c r="D43" s="9">
        <v>445661.80450899998</v>
      </c>
      <c r="E43" s="15">
        <f t="shared" si="0"/>
        <v>1030.3605744000001</v>
      </c>
      <c r="F43" s="1" t="s">
        <v>277</v>
      </c>
      <c r="G43" t="s">
        <v>78</v>
      </c>
      <c r="H43">
        <v>75</v>
      </c>
    </row>
    <row r="44" spans="1:8" x14ac:dyDescent="0.2">
      <c r="A44" s="27">
        <v>5</v>
      </c>
      <c r="B44" s="9" t="s">
        <v>7</v>
      </c>
      <c r="C44" s="9">
        <v>560723.59207999997</v>
      </c>
      <c r="D44" s="9">
        <v>445661.80450899998</v>
      </c>
      <c r="E44" s="15">
        <f t="shared" si="0"/>
        <v>1028.4374974769232</v>
      </c>
      <c r="F44" s="1" t="s">
        <v>279</v>
      </c>
      <c r="G44" t="s">
        <v>78</v>
      </c>
      <c r="H44">
        <f>75+1/2.6*5</f>
        <v>76.92307692307692</v>
      </c>
    </row>
    <row r="45" spans="1:8" x14ac:dyDescent="0.2">
      <c r="A45" s="27">
        <v>5</v>
      </c>
      <c r="B45" s="9" t="s">
        <v>7</v>
      </c>
      <c r="C45" s="9">
        <v>560723.59207999997</v>
      </c>
      <c r="D45" s="9">
        <v>445661.80450899998</v>
      </c>
      <c r="E45" s="15">
        <f t="shared" si="0"/>
        <v>1025.3605744000001</v>
      </c>
      <c r="F45" s="1" t="s">
        <v>278</v>
      </c>
      <c r="G45" t="s">
        <v>78</v>
      </c>
      <c r="H45">
        <v>80</v>
      </c>
    </row>
    <row r="46" spans="1:8" x14ac:dyDescent="0.2">
      <c r="A46" s="27">
        <v>5</v>
      </c>
      <c r="B46" s="9" t="s">
        <v>7</v>
      </c>
      <c r="C46" s="9">
        <v>560723.59207999997</v>
      </c>
      <c r="D46" s="9">
        <v>445661.80450899998</v>
      </c>
      <c r="E46" s="15">
        <f t="shared" si="0"/>
        <v>1023.3605744000001</v>
      </c>
      <c r="F46" s="1" t="s">
        <v>278</v>
      </c>
      <c r="G46" t="s">
        <v>78</v>
      </c>
      <c r="H46">
        <v>82</v>
      </c>
    </row>
  </sheetData>
  <phoneticPr fontId="8" type="noConversion"/>
  <printOptions gridLines="1"/>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9"/>
  <sheetViews>
    <sheetView view="pageBreakPreview" workbookViewId="0">
      <selection activeCell="A7" sqref="A7"/>
    </sheetView>
  </sheetViews>
  <sheetFormatPr baseColWidth="10" defaultColWidth="8.83203125" defaultRowHeight="15" x14ac:dyDescent="0.2"/>
  <cols>
    <col min="2" max="2" width="7.5" bestFit="1" customWidth="1"/>
    <col min="3" max="3" width="11" bestFit="1" customWidth="1"/>
    <col min="4" max="4" width="15.5" bestFit="1" customWidth="1"/>
    <col min="5" max="5" width="11.6640625" bestFit="1" customWidth="1"/>
    <col min="6" max="6" width="90.5" bestFit="1" customWidth="1"/>
    <col min="7" max="7" width="16.83203125" bestFit="1" customWidth="1"/>
    <col min="8" max="8" width="16.5" bestFit="1" customWidth="1"/>
  </cols>
  <sheetData>
    <row r="1" spans="1:8" s="1" customFormat="1" x14ac:dyDescent="0.2">
      <c r="A1" s="28" t="s">
        <v>296</v>
      </c>
      <c r="E1" s="2"/>
    </row>
    <row r="2" spans="1:8" x14ac:dyDescent="0.2">
      <c r="A2" s="1"/>
      <c r="B2" s="1"/>
      <c r="C2" s="1"/>
      <c r="D2" s="1" t="s">
        <v>9</v>
      </c>
      <c r="E2" s="12">
        <v>1092.7393368</v>
      </c>
      <c r="F2" s="1"/>
      <c r="G2" s="1"/>
      <c r="H2" s="1"/>
    </row>
    <row r="3" spans="1:8" x14ac:dyDescent="0.2">
      <c r="A3" s="13" t="s">
        <v>1</v>
      </c>
      <c r="B3" s="13" t="s">
        <v>0</v>
      </c>
      <c r="C3" s="13" t="s">
        <v>3</v>
      </c>
      <c r="D3" s="13" t="s">
        <v>4</v>
      </c>
      <c r="E3" s="14" t="s">
        <v>5</v>
      </c>
      <c r="F3" s="13" t="s">
        <v>196</v>
      </c>
      <c r="G3" s="13" t="s">
        <v>197</v>
      </c>
      <c r="H3" s="13" t="s">
        <v>10</v>
      </c>
    </row>
    <row r="4" spans="1:8" x14ac:dyDescent="0.2">
      <c r="A4" s="4">
        <v>6</v>
      </c>
      <c r="B4" s="11" t="s">
        <v>146</v>
      </c>
      <c r="C4" s="11">
        <v>559192.33073499997</v>
      </c>
      <c r="D4" s="11">
        <v>445665.75064899999</v>
      </c>
      <c r="E4" s="7">
        <f>E$2-H4</f>
        <v>1092.7393368</v>
      </c>
      <c r="F4" s="1" t="s">
        <v>151</v>
      </c>
      <c r="G4" t="s">
        <v>151</v>
      </c>
      <c r="H4" s="1">
        <v>0</v>
      </c>
    </row>
    <row r="5" spans="1:8" x14ac:dyDescent="0.2">
      <c r="A5" s="4">
        <v>6</v>
      </c>
      <c r="B5" s="11" t="s">
        <v>146</v>
      </c>
      <c r="C5" s="11">
        <v>559192.33073499997</v>
      </c>
      <c r="D5" s="11">
        <v>445665.75064899999</v>
      </c>
      <c r="E5" s="7">
        <f t="shared" ref="E5:E61" si="0">E$2-H5</f>
        <v>1091.1393368000001</v>
      </c>
      <c r="F5" s="1" t="s">
        <v>152</v>
      </c>
      <c r="G5" t="s">
        <v>138</v>
      </c>
      <c r="H5" s="1">
        <v>1.6</v>
      </c>
    </row>
    <row r="6" spans="1:8" x14ac:dyDescent="0.2">
      <c r="A6" s="4">
        <v>6</v>
      </c>
      <c r="B6" s="11" t="s">
        <v>146</v>
      </c>
      <c r="C6" s="11">
        <v>559192.33073499997</v>
      </c>
      <c r="D6" s="11">
        <v>445665.75064899999</v>
      </c>
      <c r="E6" s="7">
        <f t="shared" si="0"/>
        <v>1089.8393368</v>
      </c>
      <c r="F6" s="1" t="s">
        <v>153</v>
      </c>
      <c r="G6" t="s">
        <v>138</v>
      </c>
      <c r="H6" s="1">
        <v>2.9</v>
      </c>
    </row>
    <row r="7" spans="1:8" x14ac:dyDescent="0.2">
      <c r="A7" s="4">
        <v>6</v>
      </c>
      <c r="B7" s="11" t="s">
        <v>146</v>
      </c>
      <c r="C7" s="11">
        <v>559192.33073499997</v>
      </c>
      <c r="D7" s="11">
        <v>445665.75064899999</v>
      </c>
      <c r="E7" s="7">
        <f t="shared" si="0"/>
        <v>1088.6393368000001</v>
      </c>
      <c r="F7" s="1" t="s">
        <v>154</v>
      </c>
      <c r="G7" t="s">
        <v>138</v>
      </c>
      <c r="H7" s="1">
        <v>4.0999999999999996</v>
      </c>
    </row>
    <row r="8" spans="1:8" x14ac:dyDescent="0.2">
      <c r="A8" s="4">
        <v>6</v>
      </c>
      <c r="B8" s="11" t="s">
        <v>146</v>
      </c>
      <c r="C8" s="11">
        <v>559192.33073499997</v>
      </c>
      <c r="D8" s="11">
        <v>445665.75064899999</v>
      </c>
      <c r="E8" s="7">
        <f t="shared" si="0"/>
        <v>1087.7393368</v>
      </c>
      <c r="F8" s="1" t="s">
        <v>155</v>
      </c>
      <c r="G8" t="s">
        <v>132</v>
      </c>
      <c r="H8" s="1">
        <v>5</v>
      </c>
    </row>
    <row r="9" spans="1:8" x14ac:dyDescent="0.2">
      <c r="A9" s="4">
        <v>6</v>
      </c>
      <c r="B9" s="11" t="s">
        <v>146</v>
      </c>
      <c r="C9" s="11">
        <v>559192.33073499997</v>
      </c>
      <c r="D9" s="11">
        <v>445665.75064899999</v>
      </c>
      <c r="E9" s="7">
        <f t="shared" si="0"/>
        <v>1084.1393368000001</v>
      </c>
      <c r="F9" s="1" t="s">
        <v>290</v>
      </c>
      <c r="G9" t="s">
        <v>78</v>
      </c>
      <c r="H9" s="1">
        <v>8.6</v>
      </c>
    </row>
    <row r="10" spans="1:8" x14ac:dyDescent="0.2">
      <c r="A10" s="4">
        <v>6</v>
      </c>
      <c r="B10" s="11" t="s">
        <v>146</v>
      </c>
      <c r="C10" s="11">
        <v>559192.33073499997</v>
      </c>
      <c r="D10" s="11">
        <v>445665.75064899999</v>
      </c>
      <c r="E10" s="7">
        <f t="shared" si="0"/>
        <v>1084.0393368</v>
      </c>
      <c r="F10" s="1" t="s">
        <v>156</v>
      </c>
      <c r="G10" t="s">
        <v>132</v>
      </c>
      <c r="H10" s="1">
        <v>8.6999999999999993</v>
      </c>
    </row>
    <row r="11" spans="1:8" x14ac:dyDescent="0.2">
      <c r="A11" s="4">
        <v>6</v>
      </c>
      <c r="B11" s="11" t="s">
        <v>146</v>
      </c>
      <c r="C11" s="11">
        <v>559192.33073499997</v>
      </c>
      <c r="D11" s="11">
        <v>445665.75064899999</v>
      </c>
      <c r="E11" s="7">
        <f t="shared" si="0"/>
        <v>1083.8393368</v>
      </c>
      <c r="F11" s="1" t="s">
        <v>157</v>
      </c>
      <c r="G11" t="s">
        <v>132</v>
      </c>
      <c r="H11" s="1">
        <v>8.9</v>
      </c>
    </row>
    <row r="12" spans="1:8" x14ac:dyDescent="0.2">
      <c r="A12" s="4">
        <v>6</v>
      </c>
      <c r="B12" s="11" t="s">
        <v>146</v>
      </c>
      <c r="C12" s="11">
        <v>559192.33073499997</v>
      </c>
      <c r="D12" s="11">
        <v>445665.75064899999</v>
      </c>
      <c r="E12" s="7">
        <f t="shared" si="0"/>
        <v>1082.7393368</v>
      </c>
      <c r="F12" s="1" t="s">
        <v>158</v>
      </c>
      <c r="G12" t="s">
        <v>132</v>
      </c>
      <c r="H12" s="1">
        <v>10</v>
      </c>
    </row>
    <row r="13" spans="1:8" x14ac:dyDescent="0.2">
      <c r="A13" s="4">
        <v>6</v>
      </c>
      <c r="B13" s="11" t="s">
        <v>146</v>
      </c>
      <c r="C13" s="11">
        <v>559192.33073499997</v>
      </c>
      <c r="D13" s="11">
        <v>445665.75064899999</v>
      </c>
      <c r="E13" s="7">
        <f t="shared" si="0"/>
        <v>1080.8393368</v>
      </c>
      <c r="F13" s="1" t="s">
        <v>159</v>
      </c>
      <c r="G13" t="s">
        <v>132</v>
      </c>
      <c r="H13" s="1">
        <v>11.9</v>
      </c>
    </row>
    <row r="14" spans="1:8" x14ac:dyDescent="0.2">
      <c r="A14" s="4">
        <v>6</v>
      </c>
      <c r="B14" s="11" t="s">
        <v>146</v>
      </c>
      <c r="C14" s="11">
        <v>559192.33073499997</v>
      </c>
      <c r="D14" s="11">
        <v>445665.75064899999</v>
      </c>
      <c r="E14" s="7">
        <f t="shared" si="0"/>
        <v>1080.3393368</v>
      </c>
      <c r="F14" s="35" t="s">
        <v>160</v>
      </c>
      <c r="G14" t="s">
        <v>138</v>
      </c>
      <c r="H14" s="1">
        <v>12.4</v>
      </c>
    </row>
    <row r="15" spans="1:8" x14ac:dyDescent="0.2">
      <c r="A15" s="4">
        <v>6</v>
      </c>
      <c r="B15" s="11" t="s">
        <v>146</v>
      </c>
      <c r="C15" s="11">
        <v>559192.33073499997</v>
      </c>
      <c r="D15" s="11">
        <v>445665.75064899999</v>
      </c>
      <c r="E15" s="7">
        <f t="shared" si="0"/>
        <v>1079.9393368000001</v>
      </c>
      <c r="F15" s="35"/>
      <c r="G15" t="s">
        <v>138</v>
      </c>
      <c r="H15" s="1">
        <v>12.8</v>
      </c>
    </row>
    <row r="16" spans="1:8" x14ac:dyDescent="0.2">
      <c r="A16" s="4">
        <v>6</v>
      </c>
      <c r="B16" s="11" t="s">
        <v>146</v>
      </c>
      <c r="C16" s="11">
        <v>559192.33073499997</v>
      </c>
      <c r="D16" s="11">
        <v>445665.75064899999</v>
      </c>
      <c r="E16" s="7">
        <f t="shared" si="0"/>
        <v>1077.7393368</v>
      </c>
      <c r="F16" s="5" t="s">
        <v>161</v>
      </c>
      <c r="G16" t="s">
        <v>136</v>
      </c>
      <c r="H16" s="1">
        <v>15</v>
      </c>
    </row>
    <row r="17" spans="1:8" x14ac:dyDescent="0.2">
      <c r="A17" s="4">
        <v>6</v>
      </c>
      <c r="B17" s="11" t="s">
        <v>146</v>
      </c>
      <c r="C17" s="11">
        <v>559192.33073499997</v>
      </c>
      <c r="D17" s="11">
        <v>445665.75064899999</v>
      </c>
      <c r="E17" s="7">
        <f t="shared" si="0"/>
        <v>1075.5393368</v>
      </c>
      <c r="F17" s="5" t="s">
        <v>161</v>
      </c>
      <c r="G17" t="s">
        <v>138</v>
      </c>
      <c r="H17" s="1">
        <v>17.2</v>
      </c>
    </row>
    <row r="18" spans="1:8" x14ac:dyDescent="0.2">
      <c r="A18" s="4">
        <v>6</v>
      </c>
      <c r="B18" s="11" t="s">
        <v>146</v>
      </c>
      <c r="C18" s="11">
        <v>559192.33073499997</v>
      </c>
      <c r="D18" s="11">
        <v>445665.75064899999</v>
      </c>
      <c r="E18" s="7">
        <f t="shared" si="0"/>
        <v>1073.5501476108109</v>
      </c>
      <c r="F18" s="5" t="s">
        <v>162</v>
      </c>
      <c r="G18" t="s">
        <v>138</v>
      </c>
      <c r="H18" s="6">
        <f>3.1/3.7*5+15</f>
        <v>19.189189189189189</v>
      </c>
    </row>
    <row r="19" spans="1:8" x14ac:dyDescent="0.2">
      <c r="A19" s="4">
        <v>6</v>
      </c>
      <c r="B19" s="11" t="s">
        <v>146</v>
      </c>
      <c r="C19" s="11">
        <v>559192.33073499997</v>
      </c>
      <c r="D19" s="11">
        <v>445665.75064899999</v>
      </c>
      <c r="E19" s="7">
        <f t="shared" si="0"/>
        <v>1073.0096070702702</v>
      </c>
      <c r="F19" s="5" t="s">
        <v>161</v>
      </c>
      <c r="G19" t="s">
        <v>138</v>
      </c>
      <c r="H19" s="6">
        <f>3.5/3.7*5+15</f>
        <v>19.72972972972973</v>
      </c>
    </row>
    <row r="20" spans="1:8" x14ac:dyDescent="0.2">
      <c r="A20" s="4">
        <v>6</v>
      </c>
      <c r="B20" s="11" t="s">
        <v>146</v>
      </c>
      <c r="C20" s="11">
        <v>559192.33073499997</v>
      </c>
      <c r="D20" s="11">
        <v>445665.75064899999</v>
      </c>
      <c r="E20" s="7">
        <f t="shared" si="0"/>
        <v>1072.7393368</v>
      </c>
      <c r="F20" s="5" t="s">
        <v>163</v>
      </c>
      <c r="G20" t="s">
        <v>138</v>
      </c>
      <c r="H20" s="1">
        <v>20</v>
      </c>
    </row>
    <row r="21" spans="1:8" x14ac:dyDescent="0.2">
      <c r="A21" s="4">
        <v>6</v>
      </c>
      <c r="B21" s="11" t="s">
        <v>146</v>
      </c>
      <c r="C21" s="11">
        <v>559192.33073499997</v>
      </c>
      <c r="D21" s="11">
        <v>445665.75064899999</v>
      </c>
      <c r="E21" s="7">
        <f t="shared" si="0"/>
        <v>1071.6103045419354</v>
      </c>
      <c r="F21" s="5" t="s">
        <v>164</v>
      </c>
      <c r="G21" t="s">
        <v>138</v>
      </c>
      <c r="H21" s="6">
        <f>0.7/3.1*5+20</f>
        <v>21.129032258064516</v>
      </c>
    </row>
    <row r="22" spans="1:8" x14ac:dyDescent="0.2">
      <c r="A22" s="4">
        <v>6</v>
      </c>
      <c r="B22" s="11" t="s">
        <v>146</v>
      </c>
      <c r="C22" s="11">
        <v>559192.33073499997</v>
      </c>
      <c r="D22" s="11">
        <v>445665.75064899999</v>
      </c>
      <c r="E22" s="7">
        <f t="shared" si="0"/>
        <v>1067.7393368</v>
      </c>
      <c r="F22" s="5" t="s">
        <v>165</v>
      </c>
      <c r="G22" t="s">
        <v>132</v>
      </c>
      <c r="H22" s="1">
        <v>25</v>
      </c>
    </row>
    <row r="23" spans="1:8" x14ac:dyDescent="0.2">
      <c r="A23" s="4">
        <v>6</v>
      </c>
      <c r="B23" s="11" t="s">
        <v>146</v>
      </c>
      <c r="C23" s="11">
        <v>559192.33073499997</v>
      </c>
      <c r="D23" s="11">
        <v>445665.75064899999</v>
      </c>
      <c r="E23" s="7">
        <f t="shared" si="0"/>
        <v>1063.7070787354839</v>
      </c>
      <c r="F23" s="5" t="s">
        <v>166</v>
      </c>
      <c r="G23" t="s">
        <v>138</v>
      </c>
      <c r="H23" s="6">
        <f>2.5/3.1*5+25</f>
        <v>29.032258064516128</v>
      </c>
    </row>
    <row r="24" spans="1:8" x14ac:dyDescent="0.2">
      <c r="A24" s="4">
        <v>6</v>
      </c>
      <c r="B24" s="11" t="s">
        <v>146</v>
      </c>
      <c r="C24" s="11">
        <v>559192.33073499997</v>
      </c>
      <c r="D24" s="11">
        <v>445665.75064899999</v>
      </c>
      <c r="E24" s="7">
        <f t="shared" si="0"/>
        <v>1062.7393368</v>
      </c>
      <c r="F24" s="5" t="s">
        <v>167</v>
      </c>
      <c r="G24" t="s">
        <v>138</v>
      </c>
      <c r="H24" s="1">
        <v>30</v>
      </c>
    </row>
    <row r="25" spans="1:8" x14ac:dyDescent="0.2">
      <c r="A25" s="4">
        <v>6</v>
      </c>
      <c r="B25" s="11" t="s">
        <v>146</v>
      </c>
      <c r="C25" s="11">
        <v>559192.33073499997</v>
      </c>
      <c r="D25" s="11">
        <v>445665.75064899999</v>
      </c>
      <c r="E25" s="7">
        <f t="shared" si="0"/>
        <v>1060.8038529290322</v>
      </c>
      <c r="F25" s="5" t="s">
        <v>168</v>
      </c>
      <c r="G25" t="s">
        <v>132</v>
      </c>
      <c r="H25" s="6">
        <f>1.2/3.1*5+30</f>
        <v>31.935483870967744</v>
      </c>
    </row>
    <row r="26" spans="1:8" x14ac:dyDescent="0.2">
      <c r="A26" s="4">
        <v>6</v>
      </c>
      <c r="B26" s="11" t="s">
        <v>146</v>
      </c>
      <c r="C26" s="11">
        <v>559192.33073499997</v>
      </c>
      <c r="D26" s="11">
        <v>445665.75064899999</v>
      </c>
      <c r="E26" s="7">
        <f t="shared" si="0"/>
        <v>1059.9974013161291</v>
      </c>
      <c r="F26" s="5" t="s">
        <v>169</v>
      </c>
      <c r="G26" t="s">
        <v>78</v>
      </c>
      <c r="H26" s="6">
        <f>1.7/3.1*5+30</f>
        <v>32.741935483870968</v>
      </c>
    </row>
    <row r="27" spans="1:8" x14ac:dyDescent="0.2">
      <c r="A27" s="4">
        <v>6</v>
      </c>
      <c r="B27" s="11" t="s">
        <v>146</v>
      </c>
      <c r="C27" s="11">
        <v>559192.33073499997</v>
      </c>
      <c r="D27" s="11">
        <v>445665.75064899999</v>
      </c>
      <c r="E27" s="7">
        <f t="shared" si="0"/>
        <v>1057.7393368</v>
      </c>
      <c r="F27" s="5" t="s">
        <v>170</v>
      </c>
      <c r="G27" s="8" t="s">
        <v>78</v>
      </c>
      <c r="H27" s="9">
        <v>35</v>
      </c>
    </row>
    <row r="28" spans="1:8" x14ac:dyDescent="0.2">
      <c r="A28" s="4">
        <v>6</v>
      </c>
      <c r="B28" s="11" t="s">
        <v>146</v>
      </c>
      <c r="C28" s="11">
        <v>559192.33073499997</v>
      </c>
      <c r="D28" s="11">
        <v>445665.75064899999</v>
      </c>
      <c r="E28" s="7">
        <f t="shared" si="0"/>
        <v>1056.4060034666668</v>
      </c>
      <c r="F28" s="5" t="s">
        <v>171</v>
      </c>
      <c r="G28" s="8" t="s">
        <v>78</v>
      </c>
      <c r="H28" s="10">
        <f>0.8/3*5+35</f>
        <v>36.333333333333336</v>
      </c>
    </row>
    <row r="29" spans="1:8" x14ac:dyDescent="0.2">
      <c r="A29" s="4">
        <v>6</v>
      </c>
      <c r="B29" s="11" t="s">
        <v>146</v>
      </c>
      <c r="C29" s="11">
        <v>559192.33073499997</v>
      </c>
      <c r="D29" s="11">
        <v>445665.75064899999</v>
      </c>
      <c r="E29" s="7">
        <f t="shared" si="0"/>
        <v>1056.2393368</v>
      </c>
      <c r="F29" s="5" t="s">
        <v>170</v>
      </c>
      <c r="G29" s="8" t="s">
        <v>78</v>
      </c>
      <c r="H29" s="10">
        <f>0.9/3*5+35</f>
        <v>36.5</v>
      </c>
    </row>
    <row r="30" spans="1:8" x14ac:dyDescent="0.2">
      <c r="A30" s="4">
        <v>6</v>
      </c>
      <c r="B30" s="11" t="s">
        <v>146</v>
      </c>
      <c r="C30" s="11">
        <v>559192.33073499997</v>
      </c>
      <c r="D30" s="11">
        <v>445665.75064899999</v>
      </c>
      <c r="E30" s="7">
        <f t="shared" si="0"/>
        <v>1056.0726701333333</v>
      </c>
      <c r="F30" s="5" t="s">
        <v>172</v>
      </c>
      <c r="G30" s="8" t="s">
        <v>132</v>
      </c>
      <c r="H30" s="10">
        <f>1/3*5+35</f>
        <v>36.666666666666664</v>
      </c>
    </row>
    <row r="31" spans="1:8" x14ac:dyDescent="0.2">
      <c r="A31" s="4">
        <v>6</v>
      </c>
      <c r="B31" s="11" t="s">
        <v>146</v>
      </c>
      <c r="C31" s="11">
        <v>559192.33073499997</v>
      </c>
      <c r="D31" s="11">
        <v>445665.75064899999</v>
      </c>
      <c r="E31" s="7">
        <f t="shared" si="0"/>
        <v>1055.9893368</v>
      </c>
      <c r="F31" s="5" t="s">
        <v>170</v>
      </c>
      <c r="G31" s="8" t="s">
        <v>132</v>
      </c>
      <c r="H31" s="10">
        <f>1.05/3*5+35</f>
        <v>36.75</v>
      </c>
    </row>
    <row r="32" spans="1:8" x14ac:dyDescent="0.2">
      <c r="A32" s="4">
        <v>6</v>
      </c>
      <c r="B32" s="11" t="s">
        <v>146</v>
      </c>
      <c r="C32" s="11">
        <v>559192.33073499997</v>
      </c>
      <c r="D32" s="11">
        <v>445665.75064899999</v>
      </c>
      <c r="E32" s="7">
        <f t="shared" si="0"/>
        <v>1055.0726701333333</v>
      </c>
      <c r="F32" s="5" t="s">
        <v>171</v>
      </c>
      <c r="G32" s="8" t="s">
        <v>78</v>
      </c>
      <c r="H32" s="10">
        <f>1.6/3*5+35</f>
        <v>37.666666666666664</v>
      </c>
    </row>
    <row r="33" spans="1:8" x14ac:dyDescent="0.2">
      <c r="A33" s="4">
        <v>6</v>
      </c>
      <c r="B33" s="11" t="s">
        <v>146</v>
      </c>
      <c r="C33" s="11">
        <v>559192.33073499997</v>
      </c>
      <c r="D33" s="11">
        <v>445665.75064899999</v>
      </c>
      <c r="E33" s="7">
        <f t="shared" si="0"/>
        <v>1054.7393368</v>
      </c>
      <c r="F33" s="5" t="s">
        <v>170</v>
      </c>
      <c r="G33" s="8" t="s">
        <v>132</v>
      </c>
      <c r="H33" s="10">
        <f>1.8/3*5+35</f>
        <v>38</v>
      </c>
    </row>
    <row r="34" spans="1:8" x14ac:dyDescent="0.2">
      <c r="A34" s="4">
        <v>6</v>
      </c>
      <c r="B34" s="11" t="s">
        <v>146</v>
      </c>
      <c r="C34" s="11">
        <v>559192.33073499997</v>
      </c>
      <c r="D34" s="11">
        <v>445665.75064899999</v>
      </c>
      <c r="E34" s="7">
        <f t="shared" si="0"/>
        <v>1053.5726701333333</v>
      </c>
      <c r="F34" s="5" t="s">
        <v>172</v>
      </c>
      <c r="G34" s="8" t="s">
        <v>132</v>
      </c>
      <c r="H34" s="10">
        <f>2.5/3*5+35</f>
        <v>39.166666666666664</v>
      </c>
    </row>
    <row r="35" spans="1:8" x14ac:dyDescent="0.2">
      <c r="A35" s="4">
        <v>6</v>
      </c>
      <c r="B35" s="11" t="s">
        <v>146</v>
      </c>
      <c r="C35" s="11">
        <v>559192.33073499997</v>
      </c>
      <c r="D35" s="11">
        <v>445665.75064899999</v>
      </c>
      <c r="E35" s="7">
        <f t="shared" si="0"/>
        <v>1053.4893368</v>
      </c>
      <c r="F35" s="5" t="s">
        <v>170</v>
      </c>
      <c r="G35" s="8" t="s">
        <v>132</v>
      </c>
      <c r="H35" s="10">
        <f>2.55/3*5+35</f>
        <v>39.25</v>
      </c>
    </row>
    <row r="36" spans="1:8" x14ac:dyDescent="0.2">
      <c r="A36" s="4">
        <v>6</v>
      </c>
      <c r="B36" s="11" t="s">
        <v>146</v>
      </c>
      <c r="C36" s="11">
        <v>559192.33073499997</v>
      </c>
      <c r="D36" s="11">
        <v>445665.75064899999</v>
      </c>
      <c r="E36" s="7">
        <f t="shared" si="0"/>
        <v>1052.7393368</v>
      </c>
      <c r="F36" s="5" t="s">
        <v>173</v>
      </c>
      <c r="G36" s="8" t="s">
        <v>132</v>
      </c>
      <c r="H36" s="1">
        <v>40</v>
      </c>
    </row>
    <row r="37" spans="1:8" x14ac:dyDescent="0.2">
      <c r="A37" s="4">
        <v>6</v>
      </c>
      <c r="B37" s="11" t="s">
        <v>146</v>
      </c>
      <c r="C37" s="11">
        <v>559192.33073499997</v>
      </c>
      <c r="D37" s="11">
        <v>445665.75064899999</v>
      </c>
      <c r="E37" s="7">
        <f t="shared" si="0"/>
        <v>1052.2393368</v>
      </c>
      <c r="F37" s="5" t="s">
        <v>174</v>
      </c>
      <c r="G37" s="8" t="s">
        <v>132</v>
      </c>
      <c r="H37" s="6">
        <f>40+0.3/3*5</f>
        <v>40.5</v>
      </c>
    </row>
    <row r="38" spans="1:8" x14ac:dyDescent="0.2">
      <c r="A38" s="4">
        <v>6</v>
      </c>
      <c r="B38" s="11" t="s">
        <v>146</v>
      </c>
      <c r="C38" s="11">
        <v>559192.33073499997</v>
      </c>
      <c r="D38" s="11">
        <v>445665.75064899999</v>
      </c>
      <c r="E38" s="7">
        <f t="shared" si="0"/>
        <v>1051.5726701333333</v>
      </c>
      <c r="F38" s="5" t="s">
        <v>175</v>
      </c>
      <c r="G38" s="8" t="s">
        <v>78</v>
      </c>
      <c r="H38" s="6">
        <f>40+0.7/3*5</f>
        <v>41.166666666666664</v>
      </c>
    </row>
    <row r="39" spans="1:8" x14ac:dyDescent="0.2">
      <c r="A39" s="4">
        <v>6</v>
      </c>
      <c r="B39" s="11" t="s">
        <v>146</v>
      </c>
      <c r="C39" s="11">
        <v>559192.33073499997</v>
      </c>
      <c r="D39" s="11">
        <v>445665.75064899999</v>
      </c>
      <c r="E39" s="7">
        <f t="shared" si="0"/>
        <v>1051.4060034666668</v>
      </c>
      <c r="F39" s="5" t="s">
        <v>174</v>
      </c>
      <c r="G39" s="8" t="s">
        <v>132</v>
      </c>
      <c r="H39" s="6">
        <f>40+0.8/3*5</f>
        <v>41.333333333333336</v>
      </c>
    </row>
    <row r="40" spans="1:8" x14ac:dyDescent="0.2">
      <c r="A40" s="4">
        <v>6</v>
      </c>
      <c r="B40" s="11" t="s">
        <v>146</v>
      </c>
      <c r="C40" s="11">
        <v>559192.33073499997</v>
      </c>
      <c r="D40" s="11">
        <v>445665.75064899999</v>
      </c>
      <c r="E40" s="7">
        <f t="shared" si="0"/>
        <v>1049.9060034666668</v>
      </c>
      <c r="F40" s="5" t="s">
        <v>176</v>
      </c>
      <c r="G40" s="8" t="s">
        <v>132</v>
      </c>
      <c r="H40" s="6">
        <f>40+1.7/3*5</f>
        <v>42.833333333333336</v>
      </c>
    </row>
    <row r="41" spans="1:8" x14ac:dyDescent="0.2">
      <c r="A41" s="4">
        <v>6</v>
      </c>
      <c r="B41" s="11" t="s">
        <v>146</v>
      </c>
      <c r="C41" s="11">
        <v>559192.33073499997</v>
      </c>
      <c r="D41" s="11">
        <v>445665.75064899999</v>
      </c>
      <c r="E41" s="7">
        <f t="shared" si="0"/>
        <v>1047.7393368</v>
      </c>
      <c r="F41" s="5" t="s">
        <v>177</v>
      </c>
      <c r="G41" s="8" t="s">
        <v>78</v>
      </c>
      <c r="H41" s="1">
        <v>45</v>
      </c>
    </row>
    <row r="42" spans="1:8" x14ac:dyDescent="0.2">
      <c r="A42" s="4">
        <v>6</v>
      </c>
      <c r="B42" s="11" t="s">
        <v>146</v>
      </c>
      <c r="C42" s="11">
        <v>559192.33073499997</v>
      </c>
      <c r="D42" s="11">
        <v>445665.75064899999</v>
      </c>
      <c r="E42" s="7">
        <f t="shared" si="0"/>
        <v>1046.3504479111111</v>
      </c>
      <c r="F42" s="5" t="s">
        <v>178</v>
      </c>
      <c r="G42" s="8" t="s">
        <v>132</v>
      </c>
      <c r="H42" s="6">
        <f>45+1/3.6*5</f>
        <v>46.388888888888886</v>
      </c>
    </row>
    <row r="43" spans="1:8" x14ac:dyDescent="0.2">
      <c r="A43" s="4">
        <v>6</v>
      </c>
      <c r="B43" s="11" t="s">
        <v>146</v>
      </c>
      <c r="C43" s="11">
        <v>559192.33073499997</v>
      </c>
      <c r="D43" s="11">
        <v>445665.75064899999</v>
      </c>
      <c r="E43" s="7">
        <f t="shared" si="0"/>
        <v>1043.4337812444444</v>
      </c>
      <c r="F43" s="5" t="s">
        <v>179</v>
      </c>
      <c r="G43" s="8" t="s">
        <v>132</v>
      </c>
      <c r="H43" s="6">
        <f>45+3.1/3.6*5</f>
        <v>49.305555555555557</v>
      </c>
    </row>
    <row r="44" spans="1:8" x14ac:dyDescent="0.2">
      <c r="A44" s="4">
        <v>6</v>
      </c>
      <c r="B44" s="11" t="s">
        <v>146</v>
      </c>
      <c r="C44" s="11">
        <v>559192.33073499997</v>
      </c>
      <c r="D44" s="11">
        <v>445665.75064899999</v>
      </c>
      <c r="E44" s="7">
        <f t="shared" si="0"/>
        <v>1042.7393368</v>
      </c>
      <c r="F44" s="5" t="s">
        <v>180</v>
      </c>
      <c r="G44" s="8" t="s">
        <v>78</v>
      </c>
      <c r="H44" s="1">
        <v>50</v>
      </c>
    </row>
    <row r="45" spans="1:8" x14ac:dyDescent="0.2">
      <c r="A45" s="4">
        <v>6</v>
      </c>
      <c r="B45" s="11" t="s">
        <v>146</v>
      </c>
      <c r="C45" s="11">
        <v>559192.33073499997</v>
      </c>
      <c r="D45" s="11">
        <v>445665.75064899999</v>
      </c>
      <c r="E45" s="7">
        <f t="shared" si="0"/>
        <v>1039.9615590222222</v>
      </c>
      <c r="F45" s="5" t="s">
        <v>181</v>
      </c>
      <c r="G45" s="8" t="s">
        <v>132</v>
      </c>
      <c r="H45" s="6">
        <f>50+1.5/2.7*5</f>
        <v>52.777777777777779</v>
      </c>
    </row>
    <row r="46" spans="1:8" x14ac:dyDescent="0.2">
      <c r="A46" s="4">
        <v>6</v>
      </c>
      <c r="B46" s="11" t="s">
        <v>146</v>
      </c>
      <c r="C46" s="11">
        <v>559192.33073499997</v>
      </c>
      <c r="D46" s="11">
        <v>445665.75064899999</v>
      </c>
      <c r="E46" s="7">
        <f t="shared" si="0"/>
        <v>1038.4800775407407</v>
      </c>
      <c r="F46" s="5" t="s">
        <v>182</v>
      </c>
      <c r="G46" s="8" t="s">
        <v>132</v>
      </c>
      <c r="H46" s="6">
        <f>50+2.3/2.7*5</f>
        <v>54.25925925925926</v>
      </c>
    </row>
    <row r="47" spans="1:8" x14ac:dyDescent="0.2">
      <c r="A47" s="4">
        <v>6</v>
      </c>
      <c r="B47" s="11" t="s">
        <v>146</v>
      </c>
      <c r="C47" s="11">
        <v>559192.33073499997</v>
      </c>
      <c r="D47" s="11">
        <v>445665.75064899999</v>
      </c>
      <c r="E47" s="7">
        <f t="shared" si="0"/>
        <v>1037.7393368</v>
      </c>
      <c r="F47" s="5" t="s">
        <v>183</v>
      </c>
      <c r="G47" s="8" t="s">
        <v>78</v>
      </c>
      <c r="H47" s="1">
        <v>55</v>
      </c>
    </row>
    <row r="48" spans="1:8" x14ac:dyDescent="0.2">
      <c r="A48" s="4">
        <v>6</v>
      </c>
      <c r="B48" s="11" t="s">
        <v>146</v>
      </c>
      <c r="C48" s="11">
        <v>559192.33073499997</v>
      </c>
      <c r="D48" s="11">
        <v>445665.75064899999</v>
      </c>
      <c r="E48" s="7">
        <f t="shared" si="0"/>
        <v>1035.1586916387098</v>
      </c>
      <c r="F48" s="5" t="s">
        <v>184</v>
      </c>
      <c r="G48" s="8" t="s">
        <v>78</v>
      </c>
      <c r="H48" s="6">
        <f>55+1.6/3.1*5</f>
        <v>57.58064516129032</v>
      </c>
    </row>
    <row r="49" spans="1:8" x14ac:dyDescent="0.2">
      <c r="A49" s="4">
        <v>6</v>
      </c>
      <c r="B49" s="11" t="s">
        <v>146</v>
      </c>
      <c r="C49" s="11">
        <v>559192.33073499997</v>
      </c>
      <c r="D49" s="11">
        <v>445665.75064899999</v>
      </c>
      <c r="E49" s="7">
        <f t="shared" si="0"/>
        <v>1034.5135303483871</v>
      </c>
      <c r="F49" s="5" t="s">
        <v>185</v>
      </c>
      <c r="G49" s="8" t="s">
        <v>132</v>
      </c>
      <c r="H49" s="6">
        <f>55+2/3.1*5</f>
        <v>58.225806451612904</v>
      </c>
    </row>
    <row r="50" spans="1:8" x14ac:dyDescent="0.2">
      <c r="A50" s="4">
        <v>6</v>
      </c>
      <c r="B50" s="11" t="s">
        <v>146</v>
      </c>
      <c r="C50" s="11">
        <v>559192.33073499997</v>
      </c>
      <c r="D50" s="11">
        <v>445665.75064899999</v>
      </c>
      <c r="E50" s="7">
        <f t="shared" si="0"/>
        <v>1033.5457884129032</v>
      </c>
      <c r="F50" s="5" t="s">
        <v>186</v>
      </c>
      <c r="G50" s="8" t="s">
        <v>132</v>
      </c>
      <c r="H50" s="6">
        <f>55+2.6/3.1*5</f>
        <v>59.193548387096776</v>
      </c>
    </row>
    <row r="51" spans="1:8" x14ac:dyDescent="0.2">
      <c r="A51" s="4">
        <v>6</v>
      </c>
      <c r="B51" s="11" t="s">
        <v>146</v>
      </c>
      <c r="C51" s="11">
        <v>559192.33073499997</v>
      </c>
      <c r="D51" s="11">
        <v>445665.75064899999</v>
      </c>
      <c r="E51" s="7">
        <f t="shared" si="0"/>
        <v>1032.7393368</v>
      </c>
      <c r="F51" s="5" t="s">
        <v>187</v>
      </c>
      <c r="G51" s="8" t="s">
        <v>78</v>
      </c>
      <c r="H51" s="1">
        <v>60</v>
      </c>
    </row>
    <row r="52" spans="1:8" x14ac:dyDescent="0.2">
      <c r="A52" s="4">
        <v>6</v>
      </c>
      <c r="B52" s="11" t="s">
        <v>146</v>
      </c>
      <c r="C52" s="11">
        <v>559192.33073499997</v>
      </c>
      <c r="D52" s="11">
        <v>445665.75064899999</v>
      </c>
      <c r="E52" s="7">
        <f t="shared" si="0"/>
        <v>1030.5393368</v>
      </c>
      <c r="F52" s="5" t="s">
        <v>188</v>
      </c>
      <c r="G52" s="8" t="s">
        <v>78</v>
      </c>
      <c r="H52" s="1">
        <f>60+1.1/2.5*5</f>
        <v>62.2</v>
      </c>
    </row>
    <row r="53" spans="1:8" x14ac:dyDescent="0.2">
      <c r="A53" s="4">
        <v>6</v>
      </c>
      <c r="B53" s="11" t="s">
        <v>146</v>
      </c>
      <c r="C53" s="11">
        <v>559192.33073499997</v>
      </c>
      <c r="D53" s="11">
        <v>445665.75064899999</v>
      </c>
      <c r="E53" s="7">
        <f t="shared" si="0"/>
        <v>1030.1393368000001</v>
      </c>
      <c r="F53" s="5" t="s">
        <v>189</v>
      </c>
      <c r="G53" s="8" t="s">
        <v>138</v>
      </c>
      <c r="H53" s="1">
        <f>60+1.3/2.5*5</f>
        <v>62.6</v>
      </c>
    </row>
    <row r="54" spans="1:8" x14ac:dyDescent="0.2">
      <c r="A54" s="4">
        <v>6</v>
      </c>
      <c r="B54" s="11" t="s">
        <v>146</v>
      </c>
      <c r="C54" s="11">
        <v>559192.33073499997</v>
      </c>
      <c r="D54" s="11">
        <v>445665.75064899999</v>
      </c>
      <c r="E54" s="7">
        <f t="shared" si="0"/>
        <v>1027.9393368000001</v>
      </c>
      <c r="F54" s="5" t="s">
        <v>190</v>
      </c>
      <c r="G54" s="8" t="s">
        <v>78</v>
      </c>
      <c r="H54" s="1">
        <f>60+2.4/2.5*5</f>
        <v>64.8</v>
      </c>
    </row>
    <row r="55" spans="1:8" x14ac:dyDescent="0.2">
      <c r="A55" s="4">
        <v>6</v>
      </c>
      <c r="B55" s="11" t="s">
        <v>146</v>
      </c>
      <c r="C55" s="11">
        <v>559192.33073499997</v>
      </c>
      <c r="D55" s="11">
        <v>445665.75064899999</v>
      </c>
      <c r="E55" s="7">
        <f t="shared" si="0"/>
        <v>1027.7393368</v>
      </c>
      <c r="F55" s="5" t="s">
        <v>135</v>
      </c>
      <c r="G55" s="8" t="s">
        <v>141</v>
      </c>
      <c r="H55" s="1">
        <v>65</v>
      </c>
    </row>
    <row r="56" spans="1:8" x14ac:dyDescent="0.2">
      <c r="A56" s="4">
        <v>6</v>
      </c>
      <c r="B56" s="11" t="s">
        <v>146</v>
      </c>
      <c r="C56" s="11">
        <v>559192.33073499997</v>
      </c>
      <c r="D56" s="11">
        <v>445665.75064899999</v>
      </c>
      <c r="E56" s="7">
        <f t="shared" si="0"/>
        <v>1027.5120640727273</v>
      </c>
      <c r="F56" s="5" t="s">
        <v>191</v>
      </c>
      <c r="G56" s="8" t="s">
        <v>141</v>
      </c>
      <c r="H56" s="6">
        <f>65+0.15/3.3*5</f>
        <v>65.227272727272734</v>
      </c>
    </row>
    <row r="57" spans="1:8" x14ac:dyDescent="0.2">
      <c r="A57" s="4">
        <v>6</v>
      </c>
      <c r="B57" s="11" t="s">
        <v>146</v>
      </c>
      <c r="C57" s="11">
        <v>559192.33073499997</v>
      </c>
      <c r="D57" s="11">
        <v>445665.75064899999</v>
      </c>
      <c r="E57" s="7">
        <f t="shared" si="0"/>
        <v>1026.678730739394</v>
      </c>
      <c r="F57" s="5" t="s">
        <v>192</v>
      </c>
      <c r="G57" s="8" t="s">
        <v>141</v>
      </c>
      <c r="H57" s="6">
        <f>65+0.7/3.3*5</f>
        <v>66.060606060606062</v>
      </c>
    </row>
    <row r="58" spans="1:8" x14ac:dyDescent="0.2">
      <c r="A58" s="4">
        <v>6</v>
      </c>
      <c r="B58" s="11" t="s">
        <v>146</v>
      </c>
      <c r="C58" s="11">
        <v>559192.33073499997</v>
      </c>
      <c r="D58" s="11">
        <v>445665.75064899999</v>
      </c>
      <c r="E58" s="7">
        <f t="shared" si="0"/>
        <v>1025.769639830303</v>
      </c>
      <c r="F58" s="5" t="s">
        <v>193</v>
      </c>
      <c r="G58" s="8" t="s">
        <v>141</v>
      </c>
      <c r="H58" s="6">
        <f>65+1.3/3.3*5</f>
        <v>66.969696969696969</v>
      </c>
    </row>
    <row r="59" spans="1:8" x14ac:dyDescent="0.2">
      <c r="A59" s="4">
        <v>6</v>
      </c>
      <c r="B59" s="11" t="s">
        <v>146</v>
      </c>
      <c r="C59" s="11">
        <v>559192.33073499997</v>
      </c>
      <c r="D59" s="11">
        <v>445665.75064899999</v>
      </c>
      <c r="E59" s="7">
        <f t="shared" si="0"/>
        <v>1025.4666095272728</v>
      </c>
      <c r="F59" s="5" t="s">
        <v>194</v>
      </c>
      <c r="G59" s="8" t="s">
        <v>141</v>
      </c>
      <c r="H59" s="6">
        <f>65+1.5/3.3*5</f>
        <v>67.272727272727266</v>
      </c>
    </row>
    <row r="60" spans="1:8" x14ac:dyDescent="0.2">
      <c r="A60" s="4">
        <v>6</v>
      </c>
      <c r="B60" s="11" t="s">
        <v>146</v>
      </c>
      <c r="C60" s="11">
        <v>559192.33073499997</v>
      </c>
      <c r="D60" s="11">
        <v>445665.75064899999</v>
      </c>
      <c r="E60" s="7">
        <f t="shared" si="0"/>
        <v>1022.7393368</v>
      </c>
      <c r="F60" s="5" t="s">
        <v>195</v>
      </c>
      <c r="G60" s="8" t="s">
        <v>289</v>
      </c>
      <c r="H60" s="1">
        <v>70</v>
      </c>
    </row>
    <row r="61" spans="1:8" x14ac:dyDescent="0.2">
      <c r="A61" s="4">
        <v>6</v>
      </c>
      <c r="B61" s="11" t="s">
        <v>146</v>
      </c>
      <c r="C61" s="11">
        <v>559192.33073499997</v>
      </c>
      <c r="D61" s="11">
        <v>445665.75064899999</v>
      </c>
      <c r="E61" s="7">
        <f t="shared" si="0"/>
        <v>1020.7393368</v>
      </c>
      <c r="F61" s="5" t="s">
        <v>195</v>
      </c>
      <c r="G61" s="8" t="s">
        <v>289</v>
      </c>
      <c r="H61" s="1">
        <v>72</v>
      </c>
    </row>
    <row r="62" spans="1:8" x14ac:dyDescent="0.2">
      <c r="A62" s="4"/>
      <c r="H62" s="1"/>
    </row>
    <row r="63" spans="1:8" x14ac:dyDescent="0.2">
      <c r="A63" s="4"/>
      <c r="H63" s="1"/>
    </row>
    <row r="64" spans="1:8" x14ac:dyDescent="0.2">
      <c r="A64" s="4"/>
      <c r="H64" s="1"/>
    </row>
    <row r="65" spans="1:8" x14ac:dyDescent="0.2">
      <c r="A65" s="4"/>
      <c r="H65" s="1"/>
    </row>
    <row r="66" spans="1:8" x14ac:dyDescent="0.2">
      <c r="A66" s="4"/>
      <c r="H66" s="1"/>
    </row>
    <row r="67" spans="1:8" x14ac:dyDescent="0.2">
      <c r="A67" s="4"/>
      <c r="H67" s="1"/>
    </row>
    <row r="68" spans="1:8" x14ac:dyDescent="0.2">
      <c r="A68" s="4"/>
      <c r="H68" s="1"/>
    </row>
    <row r="69" spans="1:8" x14ac:dyDescent="0.2">
      <c r="A69" s="4"/>
      <c r="H69" s="1"/>
    </row>
    <row r="70" spans="1:8" x14ac:dyDescent="0.2">
      <c r="A70" s="4"/>
      <c r="H70" s="1"/>
    </row>
    <row r="71" spans="1:8" x14ac:dyDescent="0.2">
      <c r="A71" s="4"/>
      <c r="H71" s="1"/>
    </row>
    <row r="72" spans="1:8" x14ac:dyDescent="0.2">
      <c r="H72" s="1"/>
    </row>
    <row r="73" spans="1:8" x14ac:dyDescent="0.2">
      <c r="H73" s="1"/>
    </row>
    <row r="74" spans="1:8" x14ac:dyDescent="0.2">
      <c r="H74" s="1"/>
    </row>
    <row r="75" spans="1:8" x14ac:dyDescent="0.2">
      <c r="H75" s="1"/>
    </row>
    <row r="76" spans="1:8" x14ac:dyDescent="0.2">
      <c r="H76" s="1"/>
    </row>
    <row r="77" spans="1:8" x14ac:dyDescent="0.2">
      <c r="H77" s="1"/>
    </row>
    <row r="78" spans="1:8" x14ac:dyDescent="0.2">
      <c r="H78" s="1"/>
    </row>
    <row r="79" spans="1:8" x14ac:dyDescent="0.2">
      <c r="H79" s="1"/>
    </row>
    <row r="80" spans="1:8" x14ac:dyDescent="0.2">
      <c r="H80" s="1"/>
    </row>
    <row r="81" spans="8:8" x14ac:dyDescent="0.2">
      <c r="H81" s="1"/>
    </row>
    <row r="82" spans="8:8" x14ac:dyDescent="0.2">
      <c r="H82" s="1"/>
    </row>
    <row r="83" spans="8:8" x14ac:dyDescent="0.2">
      <c r="H83" s="1"/>
    </row>
    <row r="84" spans="8:8" x14ac:dyDescent="0.2">
      <c r="H84" s="1"/>
    </row>
    <row r="85" spans="8:8" x14ac:dyDescent="0.2">
      <c r="H85" s="1"/>
    </row>
    <row r="86" spans="8:8" x14ac:dyDescent="0.2">
      <c r="H86" s="1"/>
    </row>
    <row r="87" spans="8:8" x14ac:dyDescent="0.2">
      <c r="H87" s="1"/>
    </row>
    <row r="88" spans="8:8" x14ac:dyDescent="0.2">
      <c r="H88" s="1"/>
    </row>
    <row r="89" spans="8:8" x14ac:dyDescent="0.2">
      <c r="H89" s="1"/>
    </row>
    <row r="90" spans="8:8" x14ac:dyDescent="0.2">
      <c r="H90" s="1"/>
    </row>
    <row r="91" spans="8:8" x14ac:dyDescent="0.2">
      <c r="H91" s="1"/>
    </row>
    <row r="92" spans="8:8" x14ac:dyDescent="0.2">
      <c r="H92" s="1"/>
    </row>
    <row r="93" spans="8:8" x14ac:dyDescent="0.2">
      <c r="H93" s="1"/>
    </row>
    <row r="94" spans="8:8" x14ac:dyDescent="0.2">
      <c r="H94" s="1"/>
    </row>
    <row r="95" spans="8:8" x14ac:dyDescent="0.2">
      <c r="H95" s="1"/>
    </row>
    <row r="96" spans="8:8" x14ac:dyDescent="0.2">
      <c r="H96" s="1"/>
    </row>
    <row r="97" spans="8:8" x14ac:dyDescent="0.2">
      <c r="H97" s="1"/>
    </row>
    <row r="98" spans="8:8" x14ac:dyDescent="0.2">
      <c r="H98" s="1"/>
    </row>
    <row r="99" spans="8:8" x14ac:dyDescent="0.2">
      <c r="H99" s="1"/>
    </row>
    <row r="100" spans="8:8" x14ac:dyDescent="0.2">
      <c r="H100" s="1"/>
    </row>
    <row r="101" spans="8:8" x14ac:dyDescent="0.2">
      <c r="H101" s="1"/>
    </row>
    <row r="102" spans="8:8" x14ac:dyDescent="0.2">
      <c r="H102" s="1"/>
    </row>
    <row r="103" spans="8:8" x14ac:dyDescent="0.2">
      <c r="H103" s="1"/>
    </row>
    <row r="104" spans="8:8" x14ac:dyDescent="0.2">
      <c r="H104" s="1"/>
    </row>
    <row r="105" spans="8:8" x14ac:dyDescent="0.2">
      <c r="H105" s="1"/>
    </row>
    <row r="106" spans="8:8" x14ac:dyDescent="0.2">
      <c r="H106" s="1"/>
    </row>
    <row r="107" spans="8:8" x14ac:dyDescent="0.2">
      <c r="H107" s="1"/>
    </row>
    <row r="108" spans="8:8" x14ac:dyDescent="0.2">
      <c r="H108" s="1"/>
    </row>
    <row r="109" spans="8:8" x14ac:dyDescent="0.2">
      <c r="H109" s="1"/>
    </row>
    <row r="110" spans="8:8" x14ac:dyDescent="0.2">
      <c r="H110" s="1"/>
    </row>
    <row r="111" spans="8:8" x14ac:dyDescent="0.2">
      <c r="H111" s="1"/>
    </row>
    <row r="112" spans="8:8" x14ac:dyDescent="0.2">
      <c r="H112" s="1"/>
    </row>
    <row r="113" spans="8:8" x14ac:dyDescent="0.2">
      <c r="H113" s="1"/>
    </row>
    <row r="114" spans="8:8" x14ac:dyDescent="0.2">
      <c r="H114" s="1"/>
    </row>
    <row r="115" spans="8:8" x14ac:dyDescent="0.2">
      <c r="H115" s="1"/>
    </row>
    <row r="116" spans="8:8" x14ac:dyDescent="0.2">
      <c r="H116" s="1"/>
    </row>
    <row r="117" spans="8:8" x14ac:dyDescent="0.2">
      <c r="H117" s="1"/>
    </row>
    <row r="118" spans="8:8" x14ac:dyDescent="0.2">
      <c r="H118" s="1"/>
    </row>
    <row r="119" spans="8:8" x14ac:dyDescent="0.2">
      <c r="H119" s="1"/>
    </row>
    <row r="120" spans="8:8" x14ac:dyDescent="0.2">
      <c r="H120" s="1"/>
    </row>
    <row r="121" spans="8:8" x14ac:dyDescent="0.2">
      <c r="H121" s="1"/>
    </row>
    <row r="122" spans="8:8" x14ac:dyDescent="0.2">
      <c r="H122" s="1"/>
    </row>
    <row r="123" spans="8:8" x14ac:dyDescent="0.2">
      <c r="H123" s="1"/>
    </row>
    <row r="124" spans="8:8" x14ac:dyDescent="0.2">
      <c r="H124" s="1"/>
    </row>
    <row r="125" spans="8:8" x14ac:dyDescent="0.2">
      <c r="H125" s="1"/>
    </row>
    <row r="126" spans="8:8" x14ac:dyDescent="0.2">
      <c r="H126" s="1"/>
    </row>
    <row r="127" spans="8:8" x14ac:dyDescent="0.2">
      <c r="H127" s="1"/>
    </row>
    <row r="128" spans="8:8" x14ac:dyDescent="0.2">
      <c r="H128" s="1"/>
    </row>
    <row r="129" spans="8:8" x14ac:dyDescent="0.2">
      <c r="H129" s="1"/>
    </row>
    <row r="130" spans="8:8" x14ac:dyDescent="0.2">
      <c r="H130" s="1"/>
    </row>
    <row r="131" spans="8:8" x14ac:dyDescent="0.2">
      <c r="H131" s="1"/>
    </row>
    <row r="132" spans="8:8" x14ac:dyDescent="0.2">
      <c r="H132" s="1"/>
    </row>
    <row r="133" spans="8:8" x14ac:dyDescent="0.2">
      <c r="H133" s="1"/>
    </row>
    <row r="134" spans="8:8" x14ac:dyDescent="0.2">
      <c r="H134" s="1"/>
    </row>
    <row r="135" spans="8:8" x14ac:dyDescent="0.2">
      <c r="H135" s="1"/>
    </row>
    <row r="136" spans="8:8" x14ac:dyDescent="0.2">
      <c r="H136" s="1"/>
    </row>
    <row r="137" spans="8:8" x14ac:dyDescent="0.2">
      <c r="H137" s="1"/>
    </row>
    <row r="138" spans="8:8" x14ac:dyDescent="0.2">
      <c r="H138" s="1"/>
    </row>
    <row r="139" spans="8:8" x14ac:dyDescent="0.2">
      <c r="H139" s="1"/>
    </row>
  </sheetData>
  <mergeCells count="1">
    <mergeCell ref="F14:F15"/>
  </mergeCells>
  <phoneticPr fontId="8" type="noConversion"/>
  <printOptions gridLines="1"/>
  <pageMargins left="0.7" right="0.7" top="0.75" bottom="0.75" header="0.3" footer="0.3"/>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BreakPreview" workbookViewId="0">
      <selection activeCell="A7" sqref="A7"/>
    </sheetView>
  </sheetViews>
  <sheetFormatPr baseColWidth="10" defaultColWidth="8.83203125" defaultRowHeight="15" x14ac:dyDescent="0.2"/>
  <cols>
    <col min="4" max="4" width="15.5" bestFit="1" customWidth="1"/>
    <col min="5" max="5" width="11.6640625" bestFit="1" customWidth="1"/>
    <col min="6" max="6" width="61.83203125" customWidth="1"/>
    <col min="7" max="7" width="18.5" bestFit="1" customWidth="1"/>
    <col min="8" max="8" width="16.5" bestFit="1" customWidth="1"/>
  </cols>
  <sheetData>
    <row r="1" spans="1:8" s="1" customFormat="1" x14ac:dyDescent="0.2">
      <c r="A1" s="28" t="s">
        <v>296</v>
      </c>
      <c r="E1" s="2"/>
    </row>
    <row r="2" spans="1:8" x14ac:dyDescent="0.2">
      <c r="A2" s="1"/>
      <c r="B2" s="1"/>
      <c r="C2" s="1"/>
      <c r="D2" s="1" t="s">
        <v>9</v>
      </c>
      <c r="E2" s="23">
        <v>1083.9074232</v>
      </c>
      <c r="F2" s="1"/>
      <c r="G2" s="1"/>
      <c r="H2" s="1"/>
    </row>
    <row r="3" spans="1:8" x14ac:dyDescent="0.2">
      <c r="A3" s="13" t="s">
        <v>1</v>
      </c>
      <c r="B3" s="13" t="s">
        <v>0</v>
      </c>
      <c r="C3" s="13" t="s">
        <v>3</v>
      </c>
      <c r="D3" s="13" t="s">
        <v>4</v>
      </c>
      <c r="E3" s="14" t="s">
        <v>5</v>
      </c>
      <c r="F3" s="13" t="s">
        <v>196</v>
      </c>
      <c r="G3" s="13" t="s">
        <v>197</v>
      </c>
      <c r="H3" s="13" t="s">
        <v>10</v>
      </c>
    </row>
    <row r="4" spans="1:8" x14ac:dyDescent="0.2">
      <c r="A4" s="11">
        <v>7</v>
      </c>
      <c r="B4" s="11" t="s">
        <v>221</v>
      </c>
      <c r="C4" s="11">
        <v>557229.92327799997</v>
      </c>
      <c r="D4" s="25">
        <v>444736.69810099999</v>
      </c>
      <c r="E4" s="24">
        <f>E$2-H4</f>
        <v>1083.9074232</v>
      </c>
      <c r="F4" s="1" t="s">
        <v>222</v>
      </c>
      <c r="G4" s="1" t="s">
        <v>151</v>
      </c>
      <c r="H4" s="6">
        <v>0</v>
      </c>
    </row>
    <row r="5" spans="1:8" x14ac:dyDescent="0.2">
      <c r="A5" s="11">
        <v>7</v>
      </c>
      <c r="B5" s="11" t="s">
        <v>221</v>
      </c>
      <c r="C5" s="11">
        <v>557229.92327799997</v>
      </c>
      <c r="D5" s="25">
        <v>444736.69810099999</v>
      </c>
      <c r="E5" s="24">
        <f t="shared" ref="E5:E37" si="0">E$2-H5</f>
        <v>1082.5120743627908</v>
      </c>
      <c r="F5" s="1" t="s">
        <v>224</v>
      </c>
      <c r="G5" s="1" t="s">
        <v>151</v>
      </c>
      <c r="H5" s="6">
        <f>0.6/2.15*5</f>
        <v>1.3953488372093024</v>
      </c>
    </row>
    <row r="6" spans="1:8" x14ac:dyDescent="0.2">
      <c r="A6" s="11">
        <v>7</v>
      </c>
      <c r="B6" s="11" t="s">
        <v>221</v>
      </c>
      <c r="C6" s="11">
        <v>557229.92327799997</v>
      </c>
      <c r="D6" s="25">
        <v>444736.69810099999</v>
      </c>
      <c r="E6" s="24">
        <f t="shared" si="0"/>
        <v>1081.1167255255814</v>
      </c>
      <c r="F6" s="1" t="s">
        <v>223</v>
      </c>
      <c r="G6" s="1" t="s">
        <v>132</v>
      </c>
      <c r="H6" s="6">
        <f>1.2/2.15*5</f>
        <v>2.7906976744186047</v>
      </c>
    </row>
    <row r="7" spans="1:8" x14ac:dyDescent="0.2">
      <c r="A7" s="11">
        <v>7</v>
      </c>
      <c r="B7" s="11" t="s">
        <v>221</v>
      </c>
      <c r="C7" s="11">
        <v>557229.92327799997</v>
      </c>
      <c r="D7" s="25">
        <v>444736.69810099999</v>
      </c>
      <c r="E7" s="24">
        <f t="shared" si="0"/>
        <v>1078.9074232</v>
      </c>
      <c r="F7" s="1" t="s">
        <v>228</v>
      </c>
      <c r="G7" s="1" t="s">
        <v>132</v>
      </c>
      <c r="H7" s="6">
        <v>5</v>
      </c>
    </row>
    <row r="8" spans="1:8" x14ac:dyDescent="0.2">
      <c r="A8" s="11">
        <v>7</v>
      </c>
      <c r="B8" s="11" t="s">
        <v>221</v>
      </c>
      <c r="C8" s="11">
        <v>557229.92327799997</v>
      </c>
      <c r="D8" s="25">
        <v>444736.69810099999</v>
      </c>
      <c r="E8" s="24">
        <f t="shared" si="0"/>
        <v>1077.603075373913</v>
      </c>
      <c r="F8" s="1" t="s">
        <v>226</v>
      </c>
      <c r="G8" s="1" t="s">
        <v>132</v>
      </c>
      <c r="H8" s="6">
        <f>5+0.6/2.3*5</f>
        <v>6.304347826086957</v>
      </c>
    </row>
    <row r="9" spans="1:8" x14ac:dyDescent="0.2">
      <c r="A9" s="11">
        <v>7</v>
      </c>
      <c r="B9" s="11" t="s">
        <v>221</v>
      </c>
      <c r="C9" s="11">
        <v>557229.92327799997</v>
      </c>
      <c r="D9" s="25">
        <v>444736.69810099999</v>
      </c>
      <c r="E9" s="24">
        <f t="shared" si="0"/>
        <v>1076.0813362434783</v>
      </c>
      <c r="F9" s="1" t="s">
        <v>227</v>
      </c>
      <c r="G9" s="1" t="s">
        <v>132</v>
      </c>
      <c r="H9" s="6">
        <f>5+1.3/2.3*5</f>
        <v>7.8260869565217392</v>
      </c>
    </row>
    <row r="10" spans="1:8" x14ac:dyDescent="0.2">
      <c r="A10" s="11">
        <v>7</v>
      </c>
      <c r="B10" s="11" t="s">
        <v>221</v>
      </c>
      <c r="C10" s="11">
        <v>557229.92327799997</v>
      </c>
      <c r="D10" s="25">
        <v>444736.69810099999</v>
      </c>
      <c r="E10" s="24">
        <f t="shared" si="0"/>
        <v>1075.4291623304348</v>
      </c>
      <c r="F10" s="1" t="s">
        <v>226</v>
      </c>
      <c r="G10" s="1" t="s">
        <v>132</v>
      </c>
      <c r="H10" s="6">
        <f>5+1.6/2.3*5</f>
        <v>8.4782608695652186</v>
      </c>
    </row>
    <row r="11" spans="1:8" x14ac:dyDescent="0.2">
      <c r="A11" s="11">
        <v>7</v>
      </c>
      <c r="B11" s="11" t="s">
        <v>221</v>
      </c>
      <c r="C11" s="11">
        <v>557229.92327799997</v>
      </c>
      <c r="D11" s="25">
        <v>444736.69810099999</v>
      </c>
      <c r="E11" s="24">
        <f t="shared" si="0"/>
        <v>1074.5595971130435</v>
      </c>
      <c r="F11" s="1" t="s">
        <v>225</v>
      </c>
      <c r="G11" s="1" t="s">
        <v>138</v>
      </c>
      <c r="H11" s="6">
        <f>5+2/2.3*5</f>
        <v>9.3478260869565233</v>
      </c>
    </row>
    <row r="12" spans="1:8" x14ac:dyDescent="0.2">
      <c r="A12" s="11">
        <v>7</v>
      </c>
      <c r="B12" s="11" t="s">
        <v>221</v>
      </c>
      <c r="C12" s="11">
        <v>557229.92327799997</v>
      </c>
      <c r="D12" s="25">
        <v>444736.69810099999</v>
      </c>
      <c r="E12" s="24">
        <f t="shared" si="0"/>
        <v>1073.9074232</v>
      </c>
      <c r="F12" s="1" t="s">
        <v>229</v>
      </c>
      <c r="G12" s="1" t="s">
        <v>132</v>
      </c>
      <c r="H12" s="6">
        <v>10</v>
      </c>
    </row>
    <row r="13" spans="1:8" x14ac:dyDescent="0.2">
      <c r="A13" s="11">
        <v>7</v>
      </c>
      <c r="B13" s="11" t="s">
        <v>221</v>
      </c>
      <c r="C13" s="11">
        <v>557229.92327799997</v>
      </c>
      <c r="D13" s="25">
        <v>444736.69810099999</v>
      </c>
      <c r="E13" s="24">
        <f t="shared" si="0"/>
        <v>1068.9074232</v>
      </c>
      <c r="F13" s="1" t="s">
        <v>230</v>
      </c>
      <c r="G13" s="1" t="s">
        <v>132</v>
      </c>
      <c r="H13" s="6">
        <v>15</v>
      </c>
    </row>
    <row r="14" spans="1:8" x14ac:dyDescent="0.2">
      <c r="A14" s="11">
        <v>7</v>
      </c>
      <c r="B14" s="11" t="s">
        <v>221</v>
      </c>
      <c r="C14" s="11">
        <v>557229.92327799997</v>
      </c>
      <c r="D14" s="25">
        <v>444736.69810099999</v>
      </c>
      <c r="E14" s="24">
        <f t="shared" si="0"/>
        <v>1068.1179495157894</v>
      </c>
      <c r="F14" s="1" t="s">
        <v>231</v>
      </c>
      <c r="G14" s="1" t="s">
        <v>78</v>
      </c>
      <c r="H14" s="6">
        <f>15+0.3/1.9*5</f>
        <v>15.789473684210526</v>
      </c>
    </row>
    <row r="15" spans="1:8" x14ac:dyDescent="0.2">
      <c r="A15" s="11">
        <v>7</v>
      </c>
      <c r="B15" s="11" t="s">
        <v>221</v>
      </c>
      <c r="C15" s="11">
        <v>557229.92327799997</v>
      </c>
      <c r="D15" s="25">
        <v>444736.69810099999</v>
      </c>
      <c r="E15" s="24">
        <f t="shared" si="0"/>
        <v>1067.8547916210528</v>
      </c>
      <c r="F15" s="1" t="s">
        <v>230</v>
      </c>
      <c r="G15" s="1" t="s">
        <v>132</v>
      </c>
      <c r="H15" s="6">
        <f>15+0.4/1.9*5</f>
        <v>16.05263157894737</v>
      </c>
    </row>
    <row r="16" spans="1:8" x14ac:dyDescent="0.2">
      <c r="A16" s="11">
        <v>7</v>
      </c>
      <c r="B16" s="11" t="s">
        <v>221</v>
      </c>
      <c r="C16" s="11">
        <v>557229.92327799997</v>
      </c>
      <c r="D16" s="25">
        <v>444736.69810099999</v>
      </c>
      <c r="E16" s="24">
        <f t="shared" si="0"/>
        <v>1063.9074232</v>
      </c>
      <c r="F16" s="1" t="s">
        <v>232</v>
      </c>
      <c r="G16" s="1" t="s">
        <v>132</v>
      </c>
      <c r="H16" s="6">
        <v>20</v>
      </c>
    </row>
    <row r="17" spans="1:8" x14ac:dyDescent="0.2">
      <c r="A17" s="11">
        <v>7</v>
      </c>
      <c r="B17" s="11" t="s">
        <v>221</v>
      </c>
      <c r="C17" s="11">
        <v>557229.92327799997</v>
      </c>
      <c r="D17" s="25">
        <v>444736.69810099999</v>
      </c>
      <c r="E17" s="24">
        <f t="shared" si="0"/>
        <v>1058.9074232</v>
      </c>
      <c r="F17" s="1" t="s">
        <v>234</v>
      </c>
      <c r="G17" s="1" t="s">
        <v>132</v>
      </c>
      <c r="H17" s="6">
        <v>25</v>
      </c>
    </row>
    <row r="18" spans="1:8" x14ac:dyDescent="0.2">
      <c r="A18" s="11">
        <v>7</v>
      </c>
      <c r="B18" s="11" t="s">
        <v>221</v>
      </c>
      <c r="C18" s="11">
        <v>557229.92327799997</v>
      </c>
      <c r="D18" s="25">
        <v>444736.69810099999</v>
      </c>
      <c r="E18" s="24">
        <f t="shared" si="0"/>
        <v>1057.998332290909</v>
      </c>
      <c r="F18" s="1" t="s">
        <v>233</v>
      </c>
      <c r="G18" s="1" t="s">
        <v>135</v>
      </c>
      <c r="H18" s="6">
        <f>25+0.4/2.2*5</f>
        <v>25.90909090909091</v>
      </c>
    </row>
    <row r="19" spans="1:8" x14ac:dyDescent="0.2">
      <c r="A19" s="11">
        <v>7</v>
      </c>
      <c r="B19" s="11" t="s">
        <v>221</v>
      </c>
      <c r="C19" s="11">
        <v>557229.92327799997</v>
      </c>
      <c r="D19" s="25">
        <v>444736.69810099999</v>
      </c>
      <c r="E19" s="24">
        <f t="shared" si="0"/>
        <v>1057.8846959272728</v>
      </c>
      <c r="F19" s="1" t="s">
        <v>234</v>
      </c>
      <c r="G19" s="1" t="s">
        <v>132</v>
      </c>
      <c r="H19" s="6">
        <f>25+0.45/2.2*5</f>
        <v>26.022727272727273</v>
      </c>
    </row>
    <row r="20" spans="1:8" x14ac:dyDescent="0.2">
      <c r="A20" s="11">
        <v>7</v>
      </c>
      <c r="B20" s="11" t="s">
        <v>221</v>
      </c>
      <c r="C20" s="11">
        <v>557229.92327799997</v>
      </c>
      <c r="D20" s="25">
        <v>444736.69810099999</v>
      </c>
      <c r="E20" s="24">
        <f t="shared" si="0"/>
        <v>1057.7710595636363</v>
      </c>
      <c r="F20" s="1" t="s">
        <v>233</v>
      </c>
      <c r="G20" s="1" t="s">
        <v>135</v>
      </c>
      <c r="H20" s="6">
        <f>25+0.5/2.2*5</f>
        <v>26.136363636363637</v>
      </c>
    </row>
    <row r="21" spans="1:8" x14ac:dyDescent="0.2">
      <c r="A21" s="11">
        <v>7</v>
      </c>
      <c r="B21" s="11" t="s">
        <v>221</v>
      </c>
      <c r="C21" s="11">
        <v>557229.92327799997</v>
      </c>
      <c r="D21" s="25">
        <v>444736.69810099999</v>
      </c>
      <c r="E21" s="24">
        <f t="shared" si="0"/>
        <v>1057.6574232</v>
      </c>
      <c r="F21" s="1" t="s">
        <v>234</v>
      </c>
      <c r="G21" s="1" t="s">
        <v>132</v>
      </c>
      <c r="H21" s="6">
        <f>25+0.55/2.2*5</f>
        <v>26.25</v>
      </c>
    </row>
    <row r="22" spans="1:8" x14ac:dyDescent="0.2">
      <c r="A22" s="11">
        <v>7</v>
      </c>
      <c r="B22" s="11" t="s">
        <v>221</v>
      </c>
      <c r="C22" s="11">
        <v>557229.92327799997</v>
      </c>
      <c r="D22" s="25">
        <v>444736.69810099999</v>
      </c>
      <c r="E22" s="24">
        <f t="shared" si="0"/>
        <v>1053.9074232</v>
      </c>
      <c r="F22" s="1" t="s">
        <v>235</v>
      </c>
      <c r="G22" s="1" t="s">
        <v>132</v>
      </c>
      <c r="H22" s="6">
        <v>30</v>
      </c>
    </row>
    <row r="23" spans="1:8" x14ac:dyDescent="0.2">
      <c r="A23" s="11">
        <v>7</v>
      </c>
      <c r="B23" s="11" t="s">
        <v>221</v>
      </c>
      <c r="C23" s="11">
        <v>557229.92327799997</v>
      </c>
      <c r="D23" s="25">
        <v>444736.69810099999</v>
      </c>
      <c r="E23" s="24">
        <f t="shared" si="0"/>
        <v>1051.1488025103449</v>
      </c>
      <c r="F23" s="1" t="s">
        <v>237</v>
      </c>
      <c r="G23" s="1" t="s">
        <v>132</v>
      </c>
      <c r="H23" s="6">
        <f>30+1.6/2.9*5</f>
        <v>32.758620689655174</v>
      </c>
    </row>
    <row r="24" spans="1:8" x14ac:dyDescent="0.2">
      <c r="A24" s="11">
        <v>7</v>
      </c>
      <c r="B24" s="11" t="s">
        <v>221</v>
      </c>
      <c r="C24" s="11">
        <v>557229.92327799997</v>
      </c>
      <c r="D24" s="25">
        <v>444736.69810099999</v>
      </c>
      <c r="E24" s="24">
        <f t="shared" si="0"/>
        <v>1050.9763887172414</v>
      </c>
      <c r="F24" s="1" t="s">
        <v>236</v>
      </c>
      <c r="G24" s="1" t="s">
        <v>132</v>
      </c>
      <c r="H24" s="6">
        <f>30+1.7/2.9*5</f>
        <v>32.931034482758619</v>
      </c>
    </row>
    <row r="25" spans="1:8" x14ac:dyDescent="0.2">
      <c r="A25" s="11">
        <v>7</v>
      </c>
      <c r="B25" s="11" t="s">
        <v>221</v>
      </c>
      <c r="C25" s="11">
        <v>557229.92327799997</v>
      </c>
      <c r="D25" s="25">
        <v>444736.69810099999</v>
      </c>
      <c r="E25" s="24">
        <f t="shared" si="0"/>
        <v>1050.459147337931</v>
      </c>
      <c r="F25" s="1" t="s">
        <v>238</v>
      </c>
      <c r="G25" s="1" t="s">
        <v>132</v>
      </c>
      <c r="H25" s="6">
        <f>30+2/2.9*5</f>
        <v>33.448275862068968</v>
      </c>
    </row>
    <row r="26" spans="1:8" x14ac:dyDescent="0.2">
      <c r="A26" s="11">
        <v>7</v>
      </c>
      <c r="B26" s="11" t="s">
        <v>221</v>
      </c>
      <c r="C26" s="11">
        <v>557229.92327799997</v>
      </c>
      <c r="D26" s="25">
        <v>444736.69810099999</v>
      </c>
      <c r="E26" s="24">
        <f t="shared" si="0"/>
        <v>1049.9419059586207</v>
      </c>
      <c r="F26" s="1" t="s">
        <v>239</v>
      </c>
      <c r="G26" s="1" t="s">
        <v>78</v>
      </c>
      <c r="H26" s="6">
        <f>30+2.3/2.9*5</f>
        <v>33.96551724137931</v>
      </c>
    </row>
    <row r="27" spans="1:8" x14ac:dyDescent="0.2">
      <c r="A27" s="11">
        <v>7</v>
      </c>
      <c r="B27" s="11" t="s">
        <v>221</v>
      </c>
      <c r="C27" s="11">
        <v>557229.92327799997</v>
      </c>
      <c r="D27" s="25">
        <v>444736.69810099999</v>
      </c>
      <c r="E27" s="24">
        <f t="shared" si="0"/>
        <v>1048.9074232</v>
      </c>
      <c r="F27" s="1" t="s">
        <v>240</v>
      </c>
      <c r="G27" s="1" t="s">
        <v>132</v>
      </c>
      <c r="H27" s="6">
        <v>35</v>
      </c>
    </row>
    <row r="28" spans="1:8" x14ac:dyDescent="0.2">
      <c r="A28" s="11">
        <v>7</v>
      </c>
      <c r="B28" s="11" t="s">
        <v>221</v>
      </c>
      <c r="C28" s="11">
        <v>557229.92327799997</v>
      </c>
      <c r="D28" s="25">
        <v>444736.69810099999</v>
      </c>
      <c r="E28" s="24">
        <f t="shared" si="0"/>
        <v>1046.2883755809523</v>
      </c>
      <c r="F28" s="1" t="s">
        <v>241</v>
      </c>
      <c r="G28" s="1" t="s">
        <v>78</v>
      </c>
      <c r="H28" s="6">
        <f>35+1.1/2.1*5</f>
        <v>37.61904761904762</v>
      </c>
    </row>
    <row r="29" spans="1:8" x14ac:dyDescent="0.2">
      <c r="A29" s="11">
        <v>7</v>
      </c>
      <c r="B29" s="11" t="s">
        <v>221</v>
      </c>
      <c r="C29" s="11">
        <v>557229.92327799997</v>
      </c>
      <c r="D29" s="25">
        <v>444736.69810099999</v>
      </c>
      <c r="E29" s="24">
        <f t="shared" si="0"/>
        <v>1043.9074232</v>
      </c>
      <c r="F29" s="1" t="s">
        <v>242</v>
      </c>
      <c r="G29" s="1" t="s">
        <v>78</v>
      </c>
      <c r="H29" s="6">
        <v>40</v>
      </c>
    </row>
    <row r="30" spans="1:8" x14ac:dyDescent="0.2">
      <c r="A30" s="11">
        <v>7</v>
      </c>
      <c r="B30" s="11" t="s">
        <v>221</v>
      </c>
      <c r="C30" s="11">
        <v>557229.92327799997</v>
      </c>
      <c r="D30" s="25">
        <v>444736.69810099999</v>
      </c>
      <c r="E30" s="24">
        <f t="shared" si="0"/>
        <v>1038.9074232</v>
      </c>
      <c r="F30" s="1" t="s">
        <v>243</v>
      </c>
      <c r="G30" s="1" t="s">
        <v>78</v>
      </c>
      <c r="H30" s="6">
        <v>45</v>
      </c>
    </row>
    <row r="31" spans="1:8" x14ac:dyDescent="0.2">
      <c r="A31" s="11">
        <v>7</v>
      </c>
      <c r="B31" s="11" t="s">
        <v>221</v>
      </c>
      <c r="C31" s="11">
        <v>557229.92327799997</v>
      </c>
      <c r="D31" s="25">
        <v>444736.69810099999</v>
      </c>
      <c r="E31" s="24">
        <f t="shared" si="0"/>
        <v>1036.2603643764705</v>
      </c>
      <c r="F31" s="1" t="s">
        <v>244</v>
      </c>
      <c r="G31" s="1" t="s">
        <v>78</v>
      </c>
      <c r="H31" s="6">
        <f>45+0.9/1.7*5</f>
        <v>47.647058823529413</v>
      </c>
    </row>
    <row r="32" spans="1:8" x14ac:dyDescent="0.2">
      <c r="A32" s="11">
        <v>7</v>
      </c>
      <c r="B32" s="11" t="s">
        <v>221</v>
      </c>
      <c r="C32" s="11">
        <v>557229.92327799997</v>
      </c>
      <c r="D32" s="25">
        <v>444736.69810099999</v>
      </c>
      <c r="E32" s="24">
        <f t="shared" si="0"/>
        <v>1035.9662467294118</v>
      </c>
      <c r="F32" s="1" t="s">
        <v>245</v>
      </c>
      <c r="G32" s="32" t="s">
        <v>294</v>
      </c>
      <c r="H32" s="6">
        <f>45+1/1.7*5</f>
        <v>47.941176470588232</v>
      </c>
    </row>
    <row r="33" spans="1:8" x14ac:dyDescent="0.2">
      <c r="A33" s="11">
        <v>7</v>
      </c>
      <c r="B33" s="11" t="s">
        <v>221</v>
      </c>
      <c r="C33" s="11">
        <v>557229.92327799997</v>
      </c>
      <c r="D33" s="25">
        <v>444736.69810099999</v>
      </c>
      <c r="E33" s="24">
        <f t="shared" si="0"/>
        <v>1033.9074232</v>
      </c>
      <c r="F33" s="1" t="s">
        <v>246</v>
      </c>
      <c r="G33" s="32" t="s">
        <v>294</v>
      </c>
      <c r="H33" s="6">
        <v>50</v>
      </c>
    </row>
    <row r="34" spans="1:8" x14ac:dyDescent="0.2">
      <c r="A34" s="11">
        <v>7</v>
      </c>
      <c r="B34" s="11" t="s">
        <v>221</v>
      </c>
      <c r="C34" s="11">
        <v>557229.92327799997</v>
      </c>
      <c r="D34" s="25">
        <v>444736.69810099999</v>
      </c>
      <c r="E34" s="24">
        <f t="shared" si="0"/>
        <v>1031.3191879058825</v>
      </c>
      <c r="F34" s="1" t="s">
        <v>247</v>
      </c>
      <c r="G34" s="32" t="s">
        <v>294</v>
      </c>
      <c r="H34" s="6">
        <f>50+3.3/5.1*4</f>
        <v>52.588235294117645</v>
      </c>
    </row>
    <row r="35" spans="1:8" x14ac:dyDescent="0.2">
      <c r="A35" s="11">
        <v>7</v>
      </c>
      <c r="B35" s="11" t="s">
        <v>221</v>
      </c>
      <c r="C35" s="11">
        <v>557229.92327799997</v>
      </c>
      <c r="D35" s="25">
        <v>444736.69810099999</v>
      </c>
      <c r="E35" s="24">
        <f t="shared" si="0"/>
        <v>1029.9074232</v>
      </c>
      <c r="F35" s="1" t="s">
        <v>246</v>
      </c>
      <c r="G35" s="32" t="s">
        <v>294</v>
      </c>
      <c r="H35" s="6">
        <v>54</v>
      </c>
    </row>
    <row r="36" spans="1:8" x14ac:dyDescent="0.2">
      <c r="A36" s="11">
        <v>7</v>
      </c>
      <c r="B36" s="11" t="s">
        <v>221</v>
      </c>
      <c r="C36" s="11">
        <v>557229.92327799997</v>
      </c>
      <c r="D36" s="25">
        <v>444736.69810099999</v>
      </c>
      <c r="E36" s="24">
        <f t="shared" si="0"/>
        <v>1026.9074232</v>
      </c>
      <c r="F36" s="1" t="s">
        <v>248</v>
      </c>
      <c r="G36" s="1" t="s">
        <v>289</v>
      </c>
      <c r="H36" s="6">
        <v>57</v>
      </c>
    </row>
    <row r="37" spans="1:8" x14ac:dyDescent="0.2">
      <c r="A37" s="11">
        <v>7</v>
      </c>
      <c r="B37" s="11" t="s">
        <v>221</v>
      </c>
      <c r="C37" s="11">
        <v>557229.92327799997</v>
      </c>
      <c r="D37" s="25">
        <v>444736.69810099999</v>
      </c>
      <c r="E37" s="30">
        <f t="shared" si="0"/>
        <v>1024.2074232</v>
      </c>
      <c r="F37" s="1" t="s">
        <v>249</v>
      </c>
      <c r="G37" s="1" t="s">
        <v>289</v>
      </c>
      <c r="H37" s="6">
        <v>59.7</v>
      </c>
    </row>
  </sheetData>
  <phoneticPr fontId="8" type="noConversion"/>
  <printOptions gridLines="1"/>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BreakPreview" workbookViewId="0">
      <selection activeCell="A7" sqref="A7"/>
    </sheetView>
  </sheetViews>
  <sheetFormatPr baseColWidth="10" defaultColWidth="8.83203125" defaultRowHeight="15" x14ac:dyDescent="0.2"/>
  <cols>
    <col min="1" max="2" width="8.83203125" style="1"/>
    <col min="3" max="3" width="9.5" style="1" bestFit="1" customWidth="1"/>
    <col min="4" max="4" width="15" style="1" bestFit="1" customWidth="1"/>
    <col min="5" max="5" width="11.6640625" style="2" bestFit="1" customWidth="1"/>
    <col min="6" max="6" width="67.83203125" style="1" bestFit="1" customWidth="1"/>
    <col min="7" max="7" width="20.5" style="1" customWidth="1"/>
    <col min="8" max="8" width="19.1640625" style="1" customWidth="1"/>
    <col min="9" max="9" width="19.5" style="1" bestFit="1" customWidth="1"/>
    <col min="10" max="10" width="67.83203125" style="1" bestFit="1" customWidth="1"/>
    <col min="11" max="16384" width="8.83203125" style="1"/>
  </cols>
  <sheetData>
    <row r="1" spans="1:8" x14ac:dyDescent="0.2">
      <c r="A1" s="28" t="s">
        <v>296</v>
      </c>
    </row>
    <row r="2" spans="1:8" x14ac:dyDescent="0.2">
      <c r="D2" s="1" t="s">
        <v>128</v>
      </c>
      <c r="E2" s="2">
        <v>1144.848</v>
      </c>
    </row>
    <row r="3" spans="1:8" x14ac:dyDescent="0.2">
      <c r="A3" s="13" t="s">
        <v>1</v>
      </c>
      <c r="B3" s="13" t="s">
        <v>0</v>
      </c>
      <c r="C3" s="13" t="s">
        <v>3</v>
      </c>
      <c r="D3" s="13" t="s">
        <v>4</v>
      </c>
      <c r="E3" s="14" t="s">
        <v>5</v>
      </c>
      <c r="F3" s="13" t="s">
        <v>196</v>
      </c>
      <c r="G3" s="13" t="s">
        <v>197</v>
      </c>
      <c r="H3" s="13" t="s">
        <v>10</v>
      </c>
    </row>
    <row r="4" spans="1:8" x14ac:dyDescent="0.2">
      <c r="A4" s="1">
        <v>8</v>
      </c>
      <c r="B4" s="1" t="s">
        <v>8</v>
      </c>
      <c r="C4" s="1">
        <v>563814.01856999996</v>
      </c>
      <c r="D4" s="1">
        <v>446277.78240700002</v>
      </c>
      <c r="E4" s="2">
        <f t="shared" ref="E4:E37" si="0">$E$2-H4</f>
        <v>1144.848</v>
      </c>
      <c r="F4" s="1" t="s">
        <v>87</v>
      </c>
      <c r="G4" s="1" t="s">
        <v>151</v>
      </c>
      <c r="H4" s="1">
        <v>0</v>
      </c>
    </row>
    <row r="5" spans="1:8" x14ac:dyDescent="0.2">
      <c r="A5" s="1">
        <v>8</v>
      </c>
      <c r="B5" s="1" t="s">
        <v>8</v>
      </c>
      <c r="C5" s="1">
        <v>563814.01856999996</v>
      </c>
      <c r="D5" s="1">
        <v>446277.78240700002</v>
      </c>
      <c r="E5" s="2">
        <f t="shared" si="0"/>
        <v>1143.348</v>
      </c>
      <c r="F5" s="1" t="s">
        <v>88</v>
      </c>
      <c r="G5" t="s">
        <v>293</v>
      </c>
      <c r="H5" s="1">
        <v>1.5</v>
      </c>
    </row>
    <row r="6" spans="1:8" x14ac:dyDescent="0.2">
      <c r="A6" s="1">
        <v>8</v>
      </c>
      <c r="B6" s="1" t="s">
        <v>8</v>
      </c>
      <c r="C6" s="1">
        <v>563814.01856999996</v>
      </c>
      <c r="D6" s="1">
        <v>446277.78240700002</v>
      </c>
      <c r="E6" s="2">
        <f t="shared" si="0"/>
        <v>1142.248</v>
      </c>
      <c r="F6" s="1" t="s">
        <v>89</v>
      </c>
      <c r="G6" t="s">
        <v>293</v>
      </c>
      <c r="H6" s="1">
        <v>2.6</v>
      </c>
    </row>
    <row r="7" spans="1:8" x14ac:dyDescent="0.2">
      <c r="A7" s="1">
        <v>8</v>
      </c>
      <c r="B7" s="1" t="s">
        <v>8</v>
      </c>
      <c r="C7" s="1">
        <v>563814.01856999996</v>
      </c>
      <c r="D7" s="1">
        <v>446277.78240700002</v>
      </c>
      <c r="E7" s="2">
        <f t="shared" si="0"/>
        <v>1141.6479999999999</v>
      </c>
      <c r="F7" s="1" t="s">
        <v>90</v>
      </c>
      <c r="G7" t="s">
        <v>293</v>
      </c>
      <c r="H7" s="1">
        <v>3.2</v>
      </c>
    </row>
    <row r="8" spans="1:8" x14ac:dyDescent="0.2">
      <c r="A8" s="1">
        <v>8</v>
      </c>
      <c r="B8" s="1" t="s">
        <v>8</v>
      </c>
      <c r="C8" s="1">
        <v>563814.01856999996</v>
      </c>
      <c r="D8" s="1">
        <v>446277.78240700002</v>
      </c>
      <c r="E8" s="2">
        <f t="shared" si="0"/>
        <v>1140.348</v>
      </c>
      <c r="F8" s="1" t="s">
        <v>91</v>
      </c>
      <c r="G8" t="s">
        <v>293</v>
      </c>
      <c r="H8" s="1">
        <v>4.5</v>
      </c>
    </row>
    <row r="9" spans="1:8" x14ac:dyDescent="0.2">
      <c r="A9" s="1">
        <v>8</v>
      </c>
      <c r="B9" s="1" t="s">
        <v>8</v>
      </c>
      <c r="C9" s="1">
        <v>563814.01856999996</v>
      </c>
      <c r="D9" s="1">
        <v>446277.78240700002</v>
      </c>
      <c r="E9" s="2">
        <f t="shared" si="0"/>
        <v>1139.848</v>
      </c>
      <c r="F9" s="1" t="s">
        <v>93</v>
      </c>
      <c r="G9" t="s">
        <v>293</v>
      </c>
      <c r="H9" s="1">
        <v>5</v>
      </c>
    </row>
    <row r="10" spans="1:8" x14ac:dyDescent="0.2">
      <c r="A10" s="1">
        <v>8</v>
      </c>
      <c r="B10" s="1" t="s">
        <v>8</v>
      </c>
      <c r="C10" s="1">
        <v>563814.01856999996</v>
      </c>
      <c r="D10" s="1">
        <v>446277.78240700002</v>
      </c>
      <c r="E10" s="2">
        <f t="shared" si="0"/>
        <v>1137.4479999999999</v>
      </c>
      <c r="F10" s="1" t="s">
        <v>92</v>
      </c>
      <c r="G10" t="s">
        <v>293</v>
      </c>
      <c r="H10" s="1">
        <v>7.4</v>
      </c>
    </row>
    <row r="11" spans="1:8" x14ac:dyDescent="0.2">
      <c r="A11" s="1">
        <v>8</v>
      </c>
      <c r="B11" s="1" t="s">
        <v>8</v>
      </c>
      <c r="C11" s="1">
        <v>563814.01856999996</v>
      </c>
      <c r="D11" s="1">
        <v>446277.78240700002</v>
      </c>
      <c r="E11" s="2">
        <f t="shared" si="0"/>
        <v>1137.348</v>
      </c>
      <c r="F11" s="1" t="s">
        <v>93</v>
      </c>
      <c r="G11" t="s">
        <v>293</v>
      </c>
      <c r="H11" s="1">
        <v>7.5</v>
      </c>
    </row>
    <row r="12" spans="1:8" x14ac:dyDescent="0.2">
      <c r="A12" s="1">
        <v>8</v>
      </c>
      <c r="B12" s="1" t="s">
        <v>8</v>
      </c>
      <c r="C12" s="1">
        <v>563814.01856999996</v>
      </c>
      <c r="D12" s="1">
        <v>446277.78240700002</v>
      </c>
      <c r="E12" s="2">
        <f t="shared" si="0"/>
        <v>1134.848</v>
      </c>
      <c r="F12" s="1" t="s">
        <v>94</v>
      </c>
      <c r="G12" t="s">
        <v>293</v>
      </c>
      <c r="H12" s="1">
        <v>10</v>
      </c>
    </row>
    <row r="13" spans="1:8" x14ac:dyDescent="0.2">
      <c r="A13" s="1">
        <v>8</v>
      </c>
      <c r="B13" s="1" t="s">
        <v>8</v>
      </c>
      <c r="C13" s="1">
        <v>563814.01856999996</v>
      </c>
      <c r="D13" s="1">
        <v>446277.78240700002</v>
      </c>
      <c r="E13" s="2">
        <f t="shared" si="0"/>
        <v>1131.4479999999999</v>
      </c>
      <c r="F13" s="1" t="s">
        <v>147</v>
      </c>
      <c r="G13" t="s">
        <v>293</v>
      </c>
      <c r="H13" s="1">
        <v>13.4</v>
      </c>
    </row>
    <row r="14" spans="1:8" x14ac:dyDescent="0.2">
      <c r="A14" s="1">
        <v>8</v>
      </c>
      <c r="B14" s="1" t="s">
        <v>8</v>
      </c>
      <c r="C14" s="1">
        <v>563814.01856999996</v>
      </c>
      <c r="D14" s="1">
        <v>446277.78240700002</v>
      </c>
      <c r="E14" s="2">
        <f t="shared" si="0"/>
        <v>1129.848</v>
      </c>
      <c r="F14" s="1" t="s">
        <v>95</v>
      </c>
      <c r="G14" t="s">
        <v>293</v>
      </c>
      <c r="H14" s="1">
        <v>15</v>
      </c>
    </row>
    <row r="15" spans="1:8" x14ac:dyDescent="0.2">
      <c r="A15" s="1">
        <v>8</v>
      </c>
      <c r="B15" s="1" t="s">
        <v>8</v>
      </c>
      <c r="C15" s="1">
        <v>563814.01856999996</v>
      </c>
      <c r="D15" s="1">
        <v>446277.78240700002</v>
      </c>
      <c r="E15" s="2">
        <f t="shared" si="0"/>
        <v>1128.748</v>
      </c>
      <c r="F15" s="1" t="s">
        <v>12</v>
      </c>
      <c r="G15" t="s">
        <v>293</v>
      </c>
      <c r="H15" s="1">
        <v>16.100000000000001</v>
      </c>
    </row>
    <row r="16" spans="1:8" x14ac:dyDescent="0.2">
      <c r="A16" s="1">
        <v>8</v>
      </c>
      <c r="B16" s="1" t="s">
        <v>8</v>
      </c>
      <c r="C16" s="1">
        <v>563814.01856999996</v>
      </c>
      <c r="D16" s="1">
        <v>446277.78240700002</v>
      </c>
      <c r="E16" s="2">
        <f t="shared" si="0"/>
        <v>1127.4279999999999</v>
      </c>
      <c r="F16" s="1" t="s">
        <v>96</v>
      </c>
      <c r="G16" t="s">
        <v>293</v>
      </c>
      <c r="H16" s="1">
        <v>17.420000000000002</v>
      </c>
    </row>
    <row r="17" spans="1:8" x14ac:dyDescent="0.2">
      <c r="A17" s="1">
        <v>8</v>
      </c>
      <c r="B17" s="1" t="s">
        <v>8</v>
      </c>
      <c r="C17" s="1">
        <v>563814.01856999996</v>
      </c>
      <c r="D17" s="1">
        <v>446277.78240700002</v>
      </c>
      <c r="E17" s="2">
        <f t="shared" si="0"/>
        <v>1124.848</v>
      </c>
      <c r="F17" s="1" t="s">
        <v>97</v>
      </c>
      <c r="G17" t="s">
        <v>293</v>
      </c>
      <c r="H17" s="1">
        <v>20</v>
      </c>
    </row>
    <row r="18" spans="1:8" x14ac:dyDescent="0.2">
      <c r="A18" s="1">
        <v>8</v>
      </c>
      <c r="B18" s="1" t="s">
        <v>8</v>
      </c>
      <c r="C18" s="1">
        <v>563814.01856999996</v>
      </c>
      <c r="D18" s="1">
        <v>446277.78240700002</v>
      </c>
      <c r="E18" s="2">
        <f t="shared" si="0"/>
        <v>1120.748</v>
      </c>
      <c r="F18" s="1" t="s">
        <v>98</v>
      </c>
      <c r="G18" t="s">
        <v>293</v>
      </c>
      <c r="H18" s="1">
        <v>24.1</v>
      </c>
    </row>
    <row r="19" spans="1:8" x14ac:dyDescent="0.2">
      <c r="A19" s="1">
        <v>8</v>
      </c>
      <c r="B19" s="1" t="s">
        <v>8</v>
      </c>
      <c r="C19" s="1">
        <v>563814.01856999996</v>
      </c>
      <c r="D19" s="1">
        <v>446277.78240700002</v>
      </c>
      <c r="E19" s="2">
        <f t="shared" si="0"/>
        <v>1120.4479999999999</v>
      </c>
      <c r="F19" s="1" t="s">
        <v>142</v>
      </c>
      <c r="G19" t="s">
        <v>293</v>
      </c>
      <c r="H19" s="1">
        <v>24.4</v>
      </c>
    </row>
    <row r="20" spans="1:8" x14ac:dyDescent="0.2">
      <c r="A20" s="1">
        <v>8</v>
      </c>
      <c r="B20" s="1" t="s">
        <v>8</v>
      </c>
      <c r="C20" s="1">
        <v>563814.01856999996</v>
      </c>
      <c r="D20" s="1">
        <v>446277.78240700002</v>
      </c>
      <c r="E20" s="2">
        <f t="shared" si="0"/>
        <v>1119.848</v>
      </c>
      <c r="F20" s="1" t="s">
        <v>99</v>
      </c>
      <c r="G20" t="s">
        <v>293</v>
      </c>
      <c r="H20" s="1">
        <v>25</v>
      </c>
    </row>
    <row r="21" spans="1:8" x14ac:dyDescent="0.2">
      <c r="A21" s="1">
        <v>8</v>
      </c>
      <c r="B21" s="1" t="s">
        <v>8</v>
      </c>
      <c r="C21" s="1">
        <v>563814.01856999996</v>
      </c>
      <c r="D21" s="1">
        <v>446277.78240700002</v>
      </c>
      <c r="E21" s="2">
        <f t="shared" si="0"/>
        <v>1119.1579999999999</v>
      </c>
      <c r="F21" s="1" t="s">
        <v>106</v>
      </c>
      <c r="G21" t="s">
        <v>293</v>
      </c>
      <c r="H21" s="1">
        <v>25.69</v>
      </c>
    </row>
    <row r="22" spans="1:8" x14ac:dyDescent="0.2">
      <c r="A22" s="1">
        <v>8</v>
      </c>
      <c r="B22" s="1" t="s">
        <v>8</v>
      </c>
      <c r="C22" s="1">
        <v>563814.01856999996</v>
      </c>
      <c r="D22" s="1">
        <v>446277.78240700002</v>
      </c>
      <c r="E22" s="2">
        <f t="shared" si="0"/>
        <v>1119.1079999999999</v>
      </c>
      <c r="F22" s="1" t="s">
        <v>100</v>
      </c>
      <c r="G22" t="s">
        <v>293</v>
      </c>
      <c r="H22" s="1">
        <v>25.74</v>
      </c>
    </row>
    <row r="23" spans="1:8" x14ac:dyDescent="0.2">
      <c r="A23" s="1">
        <v>8</v>
      </c>
      <c r="B23" s="1" t="s">
        <v>8</v>
      </c>
      <c r="C23" s="1">
        <v>563814.01856999996</v>
      </c>
      <c r="D23" s="1">
        <v>446277.78240700002</v>
      </c>
      <c r="E23" s="2">
        <f t="shared" si="0"/>
        <v>1117.348</v>
      </c>
      <c r="F23" s="1" t="s">
        <v>101</v>
      </c>
      <c r="G23" t="s">
        <v>293</v>
      </c>
      <c r="H23" s="1">
        <v>27.5</v>
      </c>
    </row>
    <row r="24" spans="1:8" x14ac:dyDescent="0.2">
      <c r="A24" s="1">
        <v>8</v>
      </c>
      <c r="B24" s="1" t="s">
        <v>8</v>
      </c>
      <c r="C24" s="1">
        <v>563814.01856999996</v>
      </c>
      <c r="D24" s="1">
        <v>446277.78240700002</v>
      </c>
      <c r="E24" s="2">
        <f t="shared" si="0"/>
        <v>1116.248</v>
      </c>
      <c r="F24" s="1" t="s">
        <v>102</v>
      </c>
      <c r="G24" t="s">
        <v>293</v>
      </c>
      <c r="H24" s="1">
        <v>28.6</v>
      </c>
    </row>
    <row r="25" spans="1:8" x14ac:dyDescent="0.2">
      <c r="A25" s="1">
        <v>8</v>
      </c>
      <c r="B25" s="1" t="s">
        <v>8</v>
      </c>
      <c r="C25" s="1">
        <v>563814.01856999996</v>
      </c>
      <c r="D25" s="1">
        <v>446277.78240700002</v>
      </c>
      <c r="E25" s="2">
        <f t="shared" si="0"/>
        <v>1115.548</v>
      </c>
      <c r="F25" s="1" t="s">
        <v>103</v>
      </c>
      <c r="G25" t="s">
        <v>293</v>
      </c>
      <c r="H25" s="1">
        <v>29.3</v>
      </c>
    </row>
    <row r="26" spans="1:8" x14ac:dyDescent="0.2">
      <c r="A26" s="1">
        <v>8</v>
      </c>
      <c r="B26" s="1" t="s">
        <v>8</v>
      </c>
      <c r="C26" s="1">
        <v>563814.01856999996</v>
      </c>
      <c r="D26" s="1">
        <v>446277.78240700002</v>
      </c>
      <c r="E26" s="2">
        <f t="shared" si="0"/>
        <v>1114.848</v>
      </c>
      <c r="F26" s="1" t="s">
        <v>104</v>
      </c>
      <c r="G26" t="s">
        <v>293</v>
      </c>
      <c r="H26" s="1">
        <v>30</v>
      </c>
    </row>
    <row r="27" spans="1:8" x14ac:dyDescent="0.2">
      <c r="A27" s="1">
        <v>8</v>
      </c>
      <c r="B27" s="1" t="s">
        <v>8</v>
      </c>
      <c r="C27" s="1">
        <v>563814.01856999996</v>
      </c>
      <c r="D27" s="1">
        <v>446277.78240700002</v>
      </c>
      <c r="E27" s="2">
        <f t="shared" si="0"/>
        <v>1113.8879999999999</v>
      </c>
      <c r="F27" s="1" t="s">
        <v>105</v>
      </c>
      <c r="G27" t="s">
        <v>293</v>
      </c>
      <c r="H27" s="1">
        <v>30.96</v>
      </c>
    </row>
    <row r="28" spans="1:8" x14ac:dyDescent="0.2">
      <c r="A28" s="1">
        <v>8</v>
      </c>
      <c r="B28" s="1" t="s">
        <v>8</v>
      </c>
      <c r="C28" s="1">
        <v>563814.01856999996</v>
      </c>
      <c r="D28" s="1">
        <v>446277.78240700002</v>
      </c>
      <c r="E28" s="2">
        <f t="shared" si="0"/>
        <v>1113.848</v>
      </c>
      <c r="F28" s="1" t="s">
        <v>104</v>
      </c>
      <c r="G28" t="s">
        <v>293</v>
      </c>
      <c r="H28" s="1">
        <v>31</v>
      </c>
    </row>
    <row r="29" spans="1:8" x14ac:dyDescent="0.2">
      <c r="A29" s="1">
        <v>8</v>
      </c>
      <c r="B29" s="1" t="s">
        <v>8</v>
      </c>
      <c r="C29" s="1">
        <v>563814.01856999996</v>
      </c>
      <c r="D29" s="1">
        <v>446277.78240700002</v>
      </c>
      <c r="E29" s="2">
        <f t="shared" si="0"/>
        <v>1113.1579999999999</v>
      </c>
      <c r="F29" s="1" t="s">
        <v>107</v>
      </c>
      <c r="G29" t="s">
        <v>293</v>
      </c>
      <c r="H29" s="1">
        <v>31.69</v>
      </c>
    </row>
    <row r="30" spans="1:8" x14ac:dyDescent="0.2">
      <c r="A30" s="1">
        <v>8</v>
      </c>
      <c r="B30" s="1" t="s">
        <v>8</v>
      </c>
      <c r="C30" s="1">
        <v>563814.01856999996</v>
      </c>
      <c r="D30" s="1">
        <v>446277.78240700002</v>
      </c>
      <c r="E30" s="2">
        <f t="shared" si="0"/>
        <v>1113.078</v>
      </c>
      <c r="F30" s="1" t="s">
        <v>104</v>
      </c>
      <c r="G30" t="s">
        <v>293</v>
      </c>
      <c r="H30" s="1">
        <v>31.77</v>
      </c>
    </row>
    <row r="31" spans="1:8" x14ac:dyDescent="0.2">
      <c r="A31" s="1">
        <v>8</v>
      </c>
      <c r="B31" s="1" t="s">
        <v>8</v>
      </c>
      <c r="C31" s="1">
        <v>563814.01856999996</v>
      </c>
      <c r="D31" s="1">
        <v>446277.78240700002</v>
      </c>
      <c r="E31" s="2">
        <f t="shared" si="0"/>
        <v>1111.038</v>
      </c>
      <c r="F31" s="1" t="s">
        <v>108</v>
      </c>
      <c r="G31" t="s">
        <v>293</v>
      </c>
      <c r="H31" s="1">
        <v>33.81</v>
      </c>
    </row>
    <row r="32" spans="1:8" x14ac:dyDescent="0.2">
      <c r="A32" s="1">
        <v>8</v>
      </c>
      <c r="B32" s="1" t="s">
        <v>8</v>
      </c>
      <c r="C32" s="1">
        <v>563814.01856999996</v>
      </c>
      <c r="D32" s="1">
        <v>446277.78240700002</v>
      </c>
      <c r="E32" s="2">
        <f t="shared" si="0"/>
        <v>1110.9679999999998</v>
      </c>
      <c r="F32" s="1" t="s">
        <v>109</v>
      </c>
      <c r="G32" t="s">
        <v>293</v>
      </c>
      <c r="H32" s="1">
        <v>33.880000000000003</v>
      </c>
    </row>
    <row r="33" spans="1:8" x14ac:dyDescent="0.2">
      <c r="A33" s="1">
        <v>8</v>
      </c>
      <c r="B33" s="1" t="s">
        <v>8</v>
      </c>
      <c r="C33" s="1">
        <v>563814.01856999996</v>
      </c>
      <c r="D33" s="1">
        <v>446277.78240700002</v>
      </c>
      <c r="E33" s="2">
        <f t="shared" si="0"/>
        <v>1110.548</v>
      </c>
      <c r="F33" s="1" t="s">
        <v>108</v>
      </c>
      <c r="G33" t="s">
        <v>293</v>
      </c>
      <c r="H33" s="1">
        <v>34.299999999999997</v>
      </c>
    </row>
    <row r="34" spans="1:8" x14ac:dyDescent="0.2">
      <c r="A34" s="1">
        <v>8</v>
      </c>
      <c r="B34" s="1" t="s">
        <v>8</v>
      </c>
      <c r="C34" s="1">
        <v>563814.01856999996</v>
      </c>
      <c r="D34" s="1">
        <v>446277.78240700002</v>
      </c>
      <c r="E34" s="2">
        <f t="shared" si="0"/>
        <v>1109.848</v>
      </c>
      <c r="F34" s="1" t="s">
        <v>110</v>
      </c>
      <c r="G34" t="s">
        <v>293</v>
      </c>
      <c r="H34" s="1">
        <v>35</v>
      </c>
    </row>
    <row r="35" spans="1:8" x14ac:dyDescent="0.2">
      <c r="A35" s="1">
        <v>8</v>
      </c>
      <c r="B35" s="1" t="s">
        <v>8</v>
      </c>
      <c r="C35" s="1">
        <v>563814.01856999996</v>
      </c>
      <c r="D35" s="1">
        <v>446277.78240700002</v>
      </c>
      <c r="E35" s="2">
        <f t="shared" si="0"/>
        <v>1107.048</v>
      </c>
      <c r="F35" s="1" t="s">
        <v>111</v>
      </c>
      <c r="G35" t="s">
        <v>293</v>
      </c>
      <c r="H35" s="1">
        <v>37.799999999999997</v>
      </c>
    </row>
    <row r="36" spans="1:8" x14ac:dyDescent="0.2">
      <c r="A36" s="1">
        <v>8</v>
      </c>
      <c r="B36" s="1" t="s">
        <v>8</v>
      </c>
      <c r="C36" s="1">
        <v>563814.01856999996</v>
      </c>
      <c r="D36" s="1">
        <v>446277.78240700002</v>
      </c>
      <c r="E36" s="2">
        <f t="shared" si="0"/>
        <v>1106.048</v>
      </c>
      <c r="F36" s="1" t="s">
        <v>112</v>
      </c>
      <c r="G36" s="1" t="s">
        <v>289</v>
      </c>
      <c r="H36" s="1">
        <v>38.799999999999997</v>
      </c>
    </row>
    <row r="37" spans="1:8" x14ac:dyDescent="0.2">
      <c r="A37" s="1">
        <v>8</v>
      </c>
      <c r="B37" s="1" t="s">
        <v>8</v>
      </c>
      <c r="C37" s="1">
        <v>563814.01856999996</v>
      </c>
      <c r="D37" s="1">
        <v>446277.78240700002</v>
      </c>
      <c r="E37" s="2">
        <f t="shared" si="0"/>
        <v>1104.848</v>
      </c>
      <c r="F37" s="1" t="s">
        <v>112</v>
      </c>
      <c r="G37" s="1" t="s">
        <v>289</v>
      </c>
      <c r="H37" s="1">
        <v>40</v>
      </c>
    </row>
  </sheetData>
  <phoneticPr fontId="8" type="noConversion"/>
  <printOptions gridLines="1"/>
  <pageMargins left="0.7" right="0.7" top="0.75" bottom="0.75" header="0.3" footer="0.3"/>
  <pageSetup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CoverSheet</vt:lpstr>
      <vt:lpstr>Site 1</vt:lpstr>
      <vt:lpstr>Site 2</vt:lpstr>
      <vt:lpstr>Site 3</vt:lpstr>
      <vt:lpstr>Site 4</vt:lpstr>
      <vt:lpstr>Site 5</vt:lpstr>
      <vt:lpstr>Site 6</vt:lpstr>
      <vt:lpstr>Site 7</vt:lpstr>
      <vt:lpstr>Site 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Hangjian Zhao</dc:creator>
  <cp:lastModifiedBy>Linda Deith</cp:lastModifiedBy>
  <cp:lastPrinted>2016-09-02T15:19:01Z</cp:lastPrinted>
  <dcterms:created xsi:type="dcterms:W3CDTF">2014-08-25T17:47:32Z</dcterms:created>
  <dcterms:modified xsi:type="dcterms:W3CDTF">2017-04-03T16:35:35Z</dcterms:modified>
</cp:coreProperties>
</file>